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SWhelly\Documents\DCBDC\Sean Whelly\Forecasting tools\"/>
    </mc:Choice>
  </mc:AlternateContent>
  <xr:revisionPtr revIDLastSave="0" documentId="8_{D935FD9B-1522-41BE-9084-5FEBCD171CC6}" xr6:coauthVersionLast="47" xr6:coauthVersionMax="47" xr10:uidLastSave="{00000000-0000-0000-0000-000000000000}"/>
  <bookViews>
    <workbookView xWindow="-108" yWindow="-108" windowWidth="23256" windowHeight="13176" xr2:uid="{00000000-000D-0000-FFFF-FFFF00000000}"/>
  </bookViews>
  <sheets>
    <sheet name="Financial Projections" sheetId="2" r:id="rId1"/>
    <sheet name="Loan Amortization Schedule" sheetId="4" r:id="rId2"/>
  </sheets>
  <definedNames>
    <definedName name="allowance_year1">'Financial Projections'!$D$203:$O$203</definedName>
    <definedName name="allowance_yr2">'Financial Projections'!$P$203:$AA$203</definedName>
    <definedName name="allowance_yr3">'Financial Projections'!$AB$203:$AM$203</definedName>
    <definedName name="allowance_yr4">'Financial Projections'!$AN$203:$AY$203</definedName>
    <definedName name="allowance_yr5">'Financial Projections'!$AZ$203:$BK$203</definedName>
    <definedName name="AR_data">'Financial Projections'!$Q$205</definedName>
    <definedName name="AR_year1">'Financial Projections'!$D$204:$O$204</definedName>
    <definedName name="AR_yr3">'Financial Projections'!$AY$206</definedName>
    <definedName name="Asset_installation">'Loan Amortization Schedule'!$G$215</definedName>
    <definedName name="asset1">'Financial Projections'!$D$13</definedName>
    <definedName name="asset2">'Financial Projections'!$D$14</definedName>
    <definedName name="asset3">'Financial Projections'!$D$15</definedName>
    <definedName name="Assumptions">'Loan Amortization Schedule'!$A$78</definedName>
    <definedName name="bad_debt">'Financial Projections'!$D$33</definedName>
    <definedName name="bad_debt_data">'Financial Projections'!$D$33</definedName>
    <definedName name="bad_debt_year1">'Financial Projections'!$D$203:$O$203</definedName>
    <definedName name="bad_debt_year2">'Financial Projections'!$P$203:$AA$203</definedName>
    <definedName name="Cash_flow_sales">'Financial Projections'!$C$144:$O$144</definedName>
    <definedName name="Cash_flow_sales_Jan">'Financial Projections'!$D$144</definedName>
    <definedName name="Cash_Receipts">'Financial Projections'!$C$147:$O$147</definedName>
    <definedName name="cash_receipts_yr2">'Financial Projections'!$P$209:$AA$209</definedName>
    <definedName name="cash_receipts_yr3">'Financial Projections'!$AB$209:$AM$209</definedName>
    <definedName name="cash_receipts_yr4">'Financial Projections'!$AN$209:$AY$209</definedName>
    <definedName name="cash_receipts_yr5">'Financial Projections'!$AZ$209:$BK$209</definedName>
    <definedName name="cf_sales_Feb">'Financial Projections'!$E$144</definedName>
    <definedName name="cf_sales_Mar">'Financial Projections'!$F$144</definedName>
    <definedName name="COGS">'Loan Amortization Schedule'!#REF!</definedName>
    <definedName name="COGS_data">'Financial Projections'!$D$24</definedName>
    <definedName name="Contribution">'Financial Projections'!$D$10</definedName>
    <definedName name="Current_Balance">'Loan Amortization Schedule'!$A$190</definedName>
    <definedName name="Current_Cash_Flow">'Loan Amortization Schedule'!$A$115</definedName>
    <definedName name="Depreciation">'Loan Amortization Schedule'!$A$265</definedName>
    <definedName name="depreciation_rate_asset3">'Financial Projections'!$D$19</definedName>
    <definedName name="depreciation_rate1">'Financial Projections'!$D$17</definedName>
    <definedName name="depreciation_rate2">'Financial Projections'!$D$18</definedName>
    <definedName name="first_year_depreciation_rule">'Financial Projections'!$D$20</definedName>
    <definedName name="first_year_tax">'Financial Projections'!$D$20</definedName>
    <definedName name="Five_Cash_Flow">'Loan Amortization Schedule'!$A$152</definedName>
    <definedName name="Five_Op_Plan">'Loan Amortization Schedule'!$A$88</definedName>
    <definedName name="gen_bus_liability">'Financial Projections'!$P$169</definedName>
    <definedName name="Gross_Profit">'Loan Amortization Schedule'!#REF!</definedName>
    <definedName name="income_tax_rate">'Financial Projections'!$D$23</definedName>
    <definedName name="inventory_year1">'Financial Projections'!#REF!</definedName>
    <definedName name="Loan">'Loan Amortization Schedule'!$A$1</definedName>
    <definedName name="Loan_data">'Financial Projections'!$D$25</definedName>
    <definedName name="N.profit">'Loan Amortization Schedule'!$A$75</definedName>
    <definedName name="Op_Costs">'Loan Amortization Schedule'!#REF!</definedName>
    <definedName name="OpCosts">'Loan Amortization Schedule'!#REF!</definedName>
    <definedName name="POH">'Loan Amortization Schedule'!$P$18</definedName>
    <definedName name="Principal_Sum">'Financial Projections'!$P$176</definedName>
    <definedName name="Purchases">'Loan Amortization Schedule'!#REF!</definedName>
    <definedName name="receipts">'Financial Projections'!$P$204</definedName>
    <definedName name="Retailprices">'Loan Amortization Schedule'!$M$22</definedName>
    <definedName name="revenue_increase_yr3_5">'Financial Projections'!$D$6</definedName>
    <definedName name="sales_collect">'Financial Projections'!$D$29</definedName>
    <definedName name="sales_collected_60days">'Financial Projections'!$D$31</definedName>
    <definedName name="Sales_forecast">'Financial Projections'!$P$200</definedName>
    <definedName name="sales_year1">'Financial Projections'!$D$200:$O$200</definedName>
    <definedName name="small_tools_expense">'Financial Projections'!$P$171</definedName>
    <definedName name="startup_cash">'Financial Projections'!$D$28</definedName>
    <definedName name="startup_inventory">'Financial Projections'!$D$21</definedName>
    <definedName name="sum_bookkeeping_yr1">'Financial Projections'!$P$172</definedName>
    <definedName name="sum_interest">'Financial Projections'!$P$168</definedName>
    <definedName name="sum_inventory_year1">'Financial Projections'!$P$158</definedName>
    <definedName name="sum_wages">'Financial Projections'!$P$173</definedName>
    <definedName name="WCB_expense">'Financial Projections'!$P$170</definedName>
    <definedName name="working_cap_emergency">'Financial Projections'!$D$34</definedName>
    <definedName name="Yr_end_Balance">'Loan Amortization Schedule'!$A$227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2" l="1"/>
  <c r="D81" i="2"/>
  <c r="E159" i="2"/>
  <c r="F159" i="2"/>
  <c r="G159" i="2"/>
  <c r="H159" i="2"/>
  <c r="I159" i="2"/>
  <c r="J159" i="2"/>
  <c r="K159" i="2"/>
  <c r="L159" i="2"/>
  <c r="M159" i="2"/>
  <c r="N159" i="2"/>
  <c r="O159" i="2"/>
  <c r="D159" i="2"/>
  <c r="D42" i="2"/>
  <c r="D86" i="2"/>
  <c r="E41" i="2"/>
  <c r="J41" i="2"/>
  <c r="B69" i="2"/>
  <c r="B41" i="2"/>
  <c r="B57" i="2"/>
  <c r="D173" i="2" l="1"/>
  <c r="D170" i="2" s="1"/>
  <c r="E173" i="2"/>
  <c r="E170" i="2" s="1"/>
  <c r="F173" i="2"/>
  <c r="F170" i="2" s="1"/>
  <c r="G173" i="2"/>
  <c r="G170" i="2" s="1"/>
  <c r="H173" i="2"/>
  <c r="H170" i="2" s="1"/>
  <c r="I173" i="2"/>
  <c r="I170" i="2" s="1"/>
  <c r="J173" i="2"/>
  <c r="J170" i="2" s="1"/>
  <c r="K173" i="2"/>
  <c r="K170" i="2" s="1"/>
  <c r="L173" i="2"/>
  <c r="L170" i="2" s="1"/>
  <c r="M173" i="2"/>
  <c r="M170" i="2" s="1"/>
  <c r="N173" i="2"/>
  <c r="N170" i="2" s="1"/>
  <c r="O173" i="2"/>
  <c r="O170" i="2" s="1"/>
  <c r="B4" i="4" l="1"/>
  <c r="H200" i="2"/>
  <c r="I200" i="2"/>
  <c r="I201" i="2" s="1"/>
  <c r="J200" i="2"/>
  <c r="J201" i="2" s="1"/>
  <c r="K200" i="2"/>
  <c r="K201" i="2" s="1"/>
  <c r="L200" i="2"/>
  <c r="L201" i="2" s="1"/>
  <c r="M200" i="2"/>
  <c r="M203" i="2" s="1"/>
  <c r="M204" i="2" s="1"/>
  <c r="N200" i="2"/>
  <c r="N201" i="2" s="1"/>
  <c r="O200" i="2"/>
  <c r="O201" i="2" s="1"/>
  <c r="G200" i="2"/>
  <c r="G201" i="2" s="1"/>
  <c r="F200" i="2"/>
  <c r="F203" i="2" s="1"/>
  <c r="E200" i="2"/>
  <c r="D200" i="2"/>
  <c r="D201" i="2" s="1"/>
  <c r="D202" i="2" s="1"/>
  <c r="P144" i="2"/>
  <c r="C3" i="4"/>
  <c r="D106" i="2"/>
  <c r="E106" i="2" s="1"/>
  <c r="F106" i="2" s="1"/>
  <c r="G106" i="2" s="1"/>
  <c r="D87" i="2"/>
  <c r="P160" i="2"/>
  <c r="P161" i="2"/>
  <c r="D48" i="2" s="1"/>
  <c r="P162" i="2"/>
  <c r="D49" i="2" s="1"/>
  <c r="P163" i="2"/>
  <c r="D50" i="2" s="1"/>
  <c r="P164" i="2"/>
  <c r="D51" i="2" s="1"/>
  <c r="P165" i="2"/>
  <c r="D52" i="2" s="1"/>
  <c r="P166" i="2"/>
  <c r="D53" i="2" s="1"/>
  <c r="P167" i="2"/>
  <c r="P171" i="2"/>
  <c r="D58" i="2" s="1"/>
  <c r="P172" i="2"/>
  <c r="D59" i="2" s="1"/>
  <c r="P174" i="2"/>
  <c r="P175" i="2"/>
  <c r="D127" i="2" s="1"/>
  <c r="B2" i="4"/>
  <c r="F13" i="4" s="1"/>
  <c r="D14" i="4" s="1"/>
  <c r="D168" i="2" s="1"/>
  <c r="D12" i="2"/>
  <c r="B39" i="2"/>
  <c r="D40" i="2"/>
  <c r="E40" i="2" s="1"/>
  <c r="M40" i="2"/>
  <c r="N40" i="2"/>
  <c r="O40" i="2" s="1"/>
  <c r="P40" i="2" s="1"/>
  <c r="Q40" i="2" s="1"/>
  <c r="J48" i="2"/>
  <c r="L49" i="2"/>
  <c r="M49" i="2" s="1"/>
  <c r="N49" i="2" s="1"/>
  <c r="O49" i="2" s="1"/>
  <c r="P49" i="2" s="1"/>
  <c r="E51" i="2"/>
  <c r="F51" i="2" s="1"/>
  <c r="G51" i="2" s="1"/>
  <c r="H51" i="2" s="1"/>
  <c r="D54" i="2"/>
  <c r="B61" i="2"/>
  <c r="B156" i="2" s="1"/>
  <c r="D61" i="2"/>
  <c r="E61" i="2" s="1"/>
  <c r="B62" i="2"/>
  <c r="D62" i="2"/>
  <c r="B63" i="2"/>
  <c r="D63" i="2"/>
  <c r="M76" i="2" s="1"/>
  <c r="M73" i="2"/>
  <c r="N73" i="2" s="1"/>
  <c r="O73" i="2" s="1"/>
  <c r="P73" i="2" s="1"/>
  <c r="Q73" i="2" s="1"/>
  <c r="M79" i="2"/>
  <c r="N79" i="2"/>
  <c r="O79" i="2"/>
  <c r="P79" i="2"/>
  <c r="Q79" i="2"/>
  <c r="D74" i="2"/>
  <c r="D76" i="2"/>
  <c r="D77" i="2"/>
  <c r="B86" i="2"/>
  <c r="B87" i="2"/>
  <c r="B97" i="2"/>
  <c r="B107" i="2"/>
  <c r="D107" i="2"/>
  <c r="E107" i="2" s="1"/>
  <c r="F107" i="2" s="1"/>
  <c r="G107" i="2" s="1"/>
  <c r="H107" i="2" s="1"/>
  <c r="B108" i="2"/>
  <c r="B157" i="2" s="1"/>
  <c r="D108" i="2"/>
  <c r="E108" i="2" s="1"/>
  <c r="F108" i="2" s="1"/>
  <c r="G108" i="2" s="1"/>
  <c r="H108" i="2" s="1"/>
  <c r="E127" i="2"/>
  <c r="F127" i="2"/>
  <c r="G127" i="2"/>
  <c r="H127" i="2"/>
  <c r="C148" i="2"/>
  <c r="P148" i="2" s="1"/>
  <c r="B149" i="2"/>
  <c r="C149" i="2"/>
  <c r="P149" i="2" s="1"/>
  <c r="C150" i="2"/>
  <c r="P150" i="2" s="1"/>
  <c r="P152" i="2"/>
  <c r="P153" i="2"/>
  <c r="P155" i="2"/>
  <c r="C156" i="2"/>
  <c r="P156" i="2"/>
  <c r="C157" i="2"/>
  <c r="P157" i="2" s="1"/>
  <c r="C158" i="2"/>
  <c r="P158" i="2" s="1"/>
  <c r="B161" i="2"/>
  <c r="B162" i="2"/>
  <c r="B163" i="2"/>
  <c r="B164" i="2"/>
  <c r="B165" i="2"/>
  <c r="B166" i="2"/>
  <c r="B167" i="2"/>
  <c r="B168" i="2"/>
  <c r="B169" i="2"/>
  <c r="B170" i="2"/>
  <c r="B171" i="2"/>
  <c r="B172" i="2"/>
  <c r="B173" i="2"/>
  <c r="C200" i="2"/>
  <c r="C203" i="2" s="1"/>
  <c r="C204" i="2" s="1"/>
  <c r="H203" i="2"/>
  <c r="H204" i="2" s="1"/>
  <c r="J207" i="2" s="1"/>
  <c r="K203" i="2"/>
  <c r="K204" i="2" s="1"/>
  <c r="L206" i="2" s="1"/>
  <c r="P200" i="2"/>
  <c r="AB200" i="2" s="1"/>
  <c r="Q200" i="2"/>
  <c r="Q203" i="2" s="1"/>
  <c r="R200" i="2"/>
  <c r="R201" i="2" s="1"/>
  <c r="S200" i="2"/>
  <c r="S203" i="2" s="1"/>
  <c r="S204" i="2" s="1"/>
  <c r="T200" i="2"/>
  <c r="T203" i="2" s="1"/>
  <c r="T204" i="2" s="1"/>
  <c r="U200" i="2"/>
  <c r="U203" i="2" s="1"/>
  <c r="U204" i="2" s="1"/>
  <c r="U205" i="2" s="1"/>
  <c r="V200" i="2"/>
  <c r="V201" i="2"/>
  <c r="W200" i="2"/>
  <c r="W201" i="2" s="1"/>
  <c r="W202" i="2" s="1"/>
  <c r="X200" i="2"/>
  <c r="X203" i="2" s="1"/>
  <c r="X204" i="2" s="1"/>
  <c r="Y200" i="2"/>
  <c r="Y203" i="2" s="1"/>
  <c r="Y204" i="2" s="1"/>
  <c r="Z200" i="2"/>
  <c r="Z201" i="2" s="1"/>
  <c r="Z202" i="2" s="1"/>
  <c r="AA200" i="2"/>
  <c r="AA201" i="2" s="1"/>
  <c r="AA202" i="2" s="1"/>
  <c r="AA203" i="2"/>
  <c r="AA204" i="2" s="1"/>
  <c r="G203" i="2"/>
  <c r="G204" i="2" s="1"/>
  <c r="O203" i="2"/>
  <c r="O204" i="2" s="1"/>
  <c r="BL205" i="2"/>
  <c r="C207" i="2"/>
  <c r="H201" i="2"/>
  <c r="AI200" i="2"/>
  <c r="AI201" i="2" s="1"/>
  <c r="AI202" i="2" s="1"/>
  <c r="N203" i="2"/>
  <c r="N204" i="2" s="1"/>
  <c r="V203" i="2"/>
  <c r="V204" i="2" s="1"/>
  <c r="Z203" i="2"/>
  <c r="AF200" i="2"/>
  <c r="AF201" i="2" s="1"/>
  <c r="AF202" i="2" s="1"/>
  <c r="L203" i="2"/>
  <c r="L204" i="2" s="1"/>
  <c r="AE200" i="2"/>
  <c r="AE203" i="2" s="1"/>
  <c r="AC200" i="2"/>
  <c r="AC203" i="2" s="1"/>
  <c r="AC204" i="2" s="1"/>
  <c r="AL200" i="2"/>
  <c r="AL203" i="2" s="1"/>
  <c r="AL204" i="2" s="1"/>
  <c r="AK200" i="2"/>
  <c r="AK201" i="2" s="1"/>
  <c r="AJ200" i="2"/>
  <c r="AJ201" i="2" s="1"/>
  <c r="AJ202" i="2" s="1"/>
  <c r="Y201" i="2"/>
  <c r="Y202" i="2" s="1"/>
  <c r="AD200" i="2"/>
  <c r="AD201" i="2" s="1"/>
  <c r="AD203" i="2" l="1"/>
  <c r="U201" i="2"/>
  <c r="U202" i="2" s="1"/>
  <c r="M201" i="2"/>
  <c r="E63" i="2"/>
  <c r="C201" i="2"/>
  <c r="C159" i="2" s="1"/>
  <c r="C178" i="2" s="1"/>
  <c r="AM200" i="2"/>
  <c r="AT200" i="2" s="1"/>
  <c r="AT203" i="2" s="1"/>
  <c r="AT204" i="2" s="1"/>
  <c r="X201" i="2"/>
  <c r="X202" i="2" s="1"/>
  <c r="F63" i="2"/>
  <c r="F61" i="2"/>
  <c r="G61" i="2" s="1"/>
  <c r="E64" i="2"/>
  <c r="E57" i="2" s="1"/>
  <c r="AC201" i="2"/>
  <c r="AC202" i="2" s="1"/>
  <c r="AL201" i="2"/>
  <c r="AL202" i="2" s="1"/>
  <c r="N74" i="2"/>
  <c r="I203" i="2"/>
  <c r="I204" i="2" s="1"/>
  <c r="K207" i="2" s="1"/>
  <c r="P203" i="2"/>
  <c r="P204" i="2" s="1"/>
  <c r="Q206" i="2" s="1"/>
  <c r="Z204" i="2"/>
  <c r="AA206" i="2" s="1"/>
  <c r="E77" i="4"/>
  <c r="E85" i="4"/>
  <c r="E80" i="4"/>
  <c r="E81" i="4"/>
  <c r="E82" i="4"/>
  <c r="E76" i="4"/>
  <c r="E78" i="4"/>
  <c r="E74" i="4"/>
  <c r="E84" i="4"/>
  <c r="E79" i="4"/>
  <c r="E83" i="4"/>
  <c r="E75" i="4"/>
  <c r="T201" i="2"/>
  <c r="T202" i="2" s="1"/>
  <c r="E42" i="2"/>
  <c r="L202" i="2"/>
  <c r="I202" i="2"/>
  <c r="M202" i="2"/>
  <c r="D4" i="2"/>
  <c r="H202" i="2"/>
  <c r="P173" i="2"/>
  <c r="I207" i="2"/>
  <c r="H206" i="2"/>
  <c r="G202" i="2"/>
  <c r="N207" i="2"/>
  <c r="L205" i="2"/>
  <c r="V202" i="2"/>
  <c r="AH200" i="2"/>
  <c r="AH201" i="2" s="1"/>
  <c r="G205" i="2"/>
  <c r="Q201" i="2"/>
  <c r="Q202" i="2" s="1"/>
  <c r="N76" i="2"/>
  <c r="R202" i="2"/>
  <c r="D102" i="2"/>
  <c r="D82" i="2"/>
  <c r="AB201" i="2"/>
  <c r="AB202" i="2" s="1"/>
  <c r="AB203" i="2"/>
  <c r="AB204" i="2" s="1"/>
  <c r="AD207" i="2" s="1"/>
  <c r="P170" i="2"/>
  <c r="D57" i="2" s="1"/>
  <c r="F40" i="2"/>
  <c r="E73" i="2"/>
  <c r="E98" i="2" s="1"/>
  <c r="F41" i="2"/>
  <c r="F43" i="2" s="1"/>
  <c r="R203" i="2"/>
  <c r="R204" i="2" s="1"/>
  <c r="T207" i="2" s="1"/>
  <c r="AF203" i="2"/>
  <c r="AF204" i="2" s="1"/>
  <c r="AG206" i="2" s="1"/>
  <c r="E43" i="2"/>
  <c r="E81" i="2" s="1"/>
  <c r="J203" i="2"/>
  <c r="J204" i="2" s="1"/>
  <c r="J205" i="2" s="1"/>
  <c r="N202" i="2"/>
  <c r="S201" i="2"/>
  <c r="S202" i="2" s="1"/>
  <c r="W203" i="2"/>
  <c r="W204" i="2" s="1"/>
  <c r="W205" i="2" s="1"/>
  <c r="AX200" i="2"/>
  <c r="AX201" i="2" s="1"/>
  <c r="AI203" i="2"/>
  <c r="AI204" i="2" s="1"/>
  <c r="AI205" i="2" s="1"/>
  <c r="AG200" i="2"/>
  <c r="AG201" i="2" s="1"/>
  <c r="AG202" i="2" s="1"/>
  <c r="P201" i="2"/>
  <c r="P202" i="2" s="1"/>
  <c r="D125" i="2"/>
  <c r="E125" i="2" s="1"/>
  <c r="F125" i="2" s="1"/>
  <c r="G125" i="2" s="1"/>
  <c r="H125" i="2" s="1"/>
  <c r="E102" i="2"/>
  <c r="D73" i="2"/>
  <c r="D98" i="2" s="1"/>
  <c r="P169" i="2"/>
  <c r="D56" i="2" s="1"/>
  <c r="K202" i="2"/>
  <c r="AE201" i="2"/>
  <c r="AE202" i="2" s="1"/>
  <c r="N41" i="2"/>
  <c r="S205" i="2"/>
  <c r="U207" i="2"/>
  <c r="AB206" i="2"/>
  <c r="AC207" i="2"/>
  <c r="AA205" i="2"/>
  <c r="AD206" i="2"/>
  <c r="AC205" i="2"/>
  <c r="AE207" i="2"/>
  <c r="J202" i="2"/>
  <c r="D203" i="2"/>
  <c r="D204" i="2" s="1"/>
  <c r="F207" i="2" s="1"/>
  <c r="AJ203" i="2"/>
  <c r="AJ204" i="2" s="1"/>
  <c r="AL207" i="2" s="1"/>
  <c r="O202" i="2"/>
  <c r="AM201" i="2"/>
  <c r="AM202" i="2" s="1"/>
  <c r="AS200" i="2"/>
  <c r="AM206" i="2"/>
  <c r="AN207" i="2"/>
  <c r="AL205" i="2"/>
  <c r="P206" i="2"/>
  <c r="Q207" i="2"/>
  <c r="O205" i="2"/>
  <c r="H205" i="2"/>
  <c r="I206" i="2"/>
  <c r="E203" i="2"/>
  <c r="E204" i="2" s="1"/>
  <c r="D41" i="2"/>
  <c r="E201" i="2"/>
  <c r="V207" i="2"/>
  <c r="T205" i="2"/>
  <c r="U206" i="2"/>
  <c r="X205" i="2"/>
  <c r="Z207" i="2"/>
  <c r="Y206" i="2"/>
  <c r="Z206" i="2"/>
  <c r="Y205" i="2"/>
  <c r="O207" i="2"/>
  <c r="M205" i="2"/>
  <c r="N206" i="2"/>
  <c r="H106" i="2"/>
  <c r="AA207" i="2"/>
  <c r="W206" i="2"/>
  <c r="V205" i="2"/>
  <c r="X207" i="2"/>
  <c r="D206" i="2"/>
  <c r="E207" i="2"/>
  <c r="C205" i="2"/>
  <c r="C209" i="2" s="1"/>
  <c r="O206" i="2"/>
  <c r="N205" i="2"/>
  <c r="P207" i="2"/>
  <c r="Q204" i="2"/>
  <c r="AK202" i="2"/>
  <c r="AK203" i="2"/>
  <c r="V206" i="2"/>
  <c r="W207" i="2"/>
  <c r="M207" i="2"/>
  <c r="K205" i="2"/>
  <c r="M206" i="2"/>
  <c r="E62" i="2"/>
  <c r="F62" i="2" s="1"/>
  <c r="C151" i="2"/>
  <c r="D109" i="2"/>
  <c r="D110" i="2" s="1"/>
  <c r="T206" i="2"/>
  <c r="F201" i="2"/>
  <c r="AE204" i="2"/>
  <c r="F204" i="2"/>
  <c r="AD204" i="2"/>
  <c r="AD202" i="2"/>
  <c r="B5" i="4"/>
  <c r="C14" i="4" s="1"/>
  <c r="E14" i="4" s="1"/>
  <c r="D176" i="2" s="1"/>
  <c r="P205" i="2" l="1"/>
  <c r="AK206" i="2"/>
  <c r="Z205" i="2"/>
  <c r="C202" i="2"/>
  <c r="R207" i="2"/>
  <c r="AQ200" i="2"/>
  <c r="AR200" i="2"/>
  <c r="AR203" i="2" s="1"/>
  <c r="AR204" i="2" s="1"/>
  <c r="M64" i="2"/>
  <c r="AT201" i="2"/>
  <c r="AT202" i="2" s="1"/>
  <c r="AO200" i="2"/>
  <c r="AO203" i="2" s="1"/>
  <c r="AO204" i="2" s="1"/>
  <c r="AV200" i="2"/>
  <c r="P159" i="2"/>
  <c r="I205" i="2"/>
  <c r="I209" i="2" s="1"/>
  <c r="U209" i="2"/>
  <c r="J206" i="2"/>
  <c r="J209" i="2" s="1"/>
  <c r="J147" i="2" s="1"/>
  <c r="J151" i="2" s="1"/>
  <c r="AY200" i="2"/>
  <c r="BE200" i="2" s="1"/>
  <c r="AN200" i="2"/>
  <c r="AM203" i="2"/>
  <c r="AM204" i="2" s="1"/>
  <c r="AN206" i="2" s="1"/>
  <c r="H61" i="2"/>
  <c r="AW200" i="2"/>
  <c r="AW201" i="2" s="1"/>
  <c r="AW202" i="2" s="1"/>
  <c r="AU200" i="2"/>
  <c r="AU203" i="2" s="1"/>
  <c r="AU204" i="2" s="1"/>
  <c r="AP200" i="2"/>
  <c r="AP203" i="2" s="1"/>
  <c r="AP204" i="2" s="1"/>
  <c r="AH202" i="2"/>
  <c r="AC206" i="2"/>
  <c r="AC209" i="2" s="1"/>
  <c r="AH203" i="2"/>
  <c r="AH204" i="2" s="1"/>
  <c r="AH205" i="2" s="1"/>
  <c r="AB207" i="2"/>
  <c r="E101" i="2" s="1"/>
  <c r="M65" i="2"/>
  <c r="G63" i="2"/>
  <c r="H63" i="2" s="1"/>
  <c r="E109" i="2"/>
  <c r="F42" i="2"/>
  <c r="O76" i="2"/>
  <c r="D121" i="2"/>
  <c r="K206" i="2"/>
  <c r="K209" i="2" s="1"/>
  <c r="K147" i="2" s="1"/>
  <c r="K151" i="2" s="1"/>
  <c r="L207" i="2"/>
  <c r="L209" i="2" s="1"/>
  <c r="L147" i="2" s="1"/>
  <c r="L151" i="2" s="1"/>
  <c r="D64" i="2"/>
  <c r="H209" i="2"/>
  <c r="H147" i="2" s="1"/>
  <c r="H151" i="2" s="1"/>
  <c r="C179" i="2"/>
  <c r="D65" i="2"/>
  <c r="S206" i="2"/>
  <c r="AB205" i="2"/>
  <c r="R205" i="2"/>
  <c r="E65" i="2"/>
  <c r="AH207" i="2"/>
  <c r="E82" i="2"/>
  <c r="AF205" i="2"/>
  <c r="N209" i="2"/>
  <c r="N147" i="2" s="1"/>
  <c r="N151" i="2" s="1"/>
  <c r="F73" i="2"/>
  <c r="F98" i="2" s="1"/>
  <c r="G40" i="2"/>
  <c r="D205" i="2"/>
  <c r="D209" i="2" s="1"/>
  <c r="D147" i="2" s="1"/>
  <c r="AX203" i="2"/>
  <c r="AX204" i="2" s="1"/>
  <c r="Y207" i="2"/>
  <c r="Y209" i="2" s="1"/>
  <c r="AX202" i="2"/>
  <c r="Z209" i="2"/>
  <c r="AG203" i="2"/>
  <c r="AG204" i="2" s="1"/>
  <c r="F64" i="2"/>
  <c r="F57" i="2" s="1"/>
  <c r="O74" i="2"/>
  <c r="O41" i="2"/>
  <c r="F102" i="2"/>
  <c r="F82" i="2" s="1"/>
  <c r="G41" i="2"/>
  <c r="X206" i="2"/>
  <c r="X209" i="2" s="1"/>
  <c r="W209" i="2"/>
  <c r="AK207" i="2"/>
  <c r="AJ206" i="2"/>
  <c r="AA209" i="2"/>
  <c r="AJ205" i="2"/>
  <c r="AV203" i="2"/>
  <c r="AV204" i="2" s="1"/>
  <c r="AW206" i="2" s="1"/>
  <c r="AV201" i="2"/>
  <c r="AV202" i="2" s="1"/>
  <c r="AQ201" i="2"/>
  <c r="AQ202" i="2" s="1"/>
  <c r="AQ203" i="2"/>
  <c r="AQ204" i="2" s="1"/>
  <c r="AU201" i="2"/>
  <c r="AU202" i="2" s="1"/>
  <c r="AP201" i="2"/>
  <c r="AP202" i="2" s="1"/>
  <c r="E206" i="2"/>
  <c r="AS203" i="2"/>
  <c r="AS204" i="2" s="1"/>
  <c r="AS201" i="2"/>
  <c r="AS202" i="2" s="1"/>
  <c r="AT205" i="2"/>
  <c r="AU206" i="2"/>
  <c r="AV207" i="2"/>
  <c r="D101" i="2"/>
  <c r="H207" i="2"/>
  <c r="G206" i="2"/>
  <c r="G209" i="2" s="1"/>
  <c r="G147" i="2" s="1"/>
  <c r="G151" i="2" s="1"/>
  <c r="F205" i="2"/>
  <c r="P209" i="2"/>
  <c r="V209" i="2"/>
  <c r="S207" i="2"/>
  <c r="R206" i="2"/>
  <c r="Q205" i="2"/>
  <c r="Q209" i="2" s="1"/>
  <c r="AE205" i="2"/>
  <c r="AG207" i="2"/>
  <c r="AF206" i="2"/>
  <c r="AK204" i="2"/>
  <c r="T209" i="2"/>
  <c r="F206" i="2"/>
  <c r="E205" i="2"/>
  <c r="G207" i="2"/>
  <c r="D151" i="2"/>
  <c r="C181" i="2"/>
  <c r="C184" i="2" s="1"/>
  <c r="D180" i="2" s="1"/>
  <c r="G62" i="2"/>
  <c r="H62" i="2" s="1"/>
  <c r="E110" i="2"/>
  <c r="M41" i="2"/>
  <c r="D43" i="2"/>
  <c r="D45" i="2" s="1"/>
  <c r="L57" i="2" s="1"/>
  <c r="M74" i="2"/>
  <c r="O209" i="2"/>
  <c r="O147" i="2" s="1"/>
  <c r="O151" i="2" s="1"/>
  <c r="AF207" i="2"/>
  <c r="AD205" i="2"/>
  <c r="AD209" i="2" s="1"/>
  <c r="AE206" i="2"/>
  <c r="F202" i="2"/>
  <c r="M209" i="2"/>
  <c r="M147" i="2" s="1"/>
  <c r="M151" i="2" s="1"/>
  <c r="E45" i="2"/>
  <c r="M57" i="2" s="1"/>
  <c r="E202" i="2"/>
  <c r="D178" i="2"/>
  <c r="F14" i="4"/>
  <c r="C15" i="4" s="1"/>
  <c r="AR201" i="2" l="1"/>
  <c r="AR202" i="2" s="1"/>
  <c r="BJ200" i="2"/>
  <c r="BB200" i="2"/>
  <c r="F209" i="2"/>
  <c r="F147" i="2" s="1"/>
  <c r="F151" i="2" s="1"/>
  <c r="BG200" i="2"/>
  <c r="BG201" i="2" s="1"/>
  <c r="BG202" i="2" s="1"/>
  <c r="AO201" i="2"/>
  <c r="AO202" i="2" s="1"/>
  <c r="R209" i="2"/>
  <c r="AW203" i="2"/>
  <c r="AW204" i="2" s="1"/>
  <c r="AO207" i="2"/>
  <c r="AB209" i="2"/>
  <c r="AM205" i="2"/>
  <c r="AZ200" i="2"/>
  <c r="AZ201" i="2" s="1"/>
  <c r="AZ202" i="2" s="1"/>
  <c r="BH200" i="2"/>
  <c r="BH203" i="2" s="1"/>
  <c r="BH204" i="2" s="1"/>
  <c r="BC200" i="2"/>
  <c r="BC203" i="2" s="1"/>
  <c r="BC204" i="2" s="1"/>
  <c r="BA200" i="2"/>
  <c r="BA203" i="2" s="1"/>
  <c r="BI200" i="2"/>
  <c r="BI203" i="2" s="1"/>
  <c r="AN203" i="2"/>
  <c r="AN204" i="2" s="1"/>
  <c r="AN201" i="2"/>
  <c r="AN202" i="2" s="1"/>
  <c r="AI206" i="2"/>
  <c r="AJ207" i="2"/>
  <c r="AJ209" i="2" s="1"/>
  <c r="I147" i="2"/>
  <c r="BD200" i="2"/>
  <c r="BD203" i="2" s="1"/>
  <c r="BD204" i="2" s="1"/>
  <c r="F65" i="2"/>
  <c r="AY201" i="2"/>
  <c r="AY202" i="2" s="1"/>
  <c r="AY203" i="2"/>
  <c r="AY204" i="2" s="1"/>
  <c r="AZ206" i="2" s="1"/>
  <c r="BF200" i="2"/>
  <c r="BF201" i="2" s="1"/>
  <c r="BF202" i="2" s="1"/>
  <c r="BK200" i="2"/>
  <c r="G42" i="2"/>
  <c r="H42" i="2" s="1"/>
  <c r="P76" i="2"/>
  <c r="E121" i="2"/>
  <c r="F121" i="2"/>
  <c r="S209" i="2"/>
  <c r="E78" i="2" s="1"/>
  <c r="E209" i="2"/>
  <c r="E147" i="2" s="1"/>
  <c r="E151" i="2" s="1"/>
  <c r="AX205" i="2"/>
  <c r="AZ207" i="2"/>
  <c r="AY206" i="2"/>
  <c r="AI207" i="2"/>
  <c r="AG205" i="2"/>
  <c r="AH206" i="2"/>
  <c r="AH209" i="2" s="1"/>
  <c r="AG209" i="2"/>
  <c r="F81" i="2"/>
  <c r="N64" i="2" s="1"/>
  <c r="N65" i="2"/>
  <c r="F45" i="2"/>
  <c r="N57" i="2" s="1"/>
  <c r="G73" i="2"/>
  <c r="G98" i="2" s="1"/>
  <c r="H40" i="2"/>
  <c r="H73" i="2" s="1"/>
  <c r="H98" i="2" s="1"/>
  <c r="AX207" i="2"/>
  <c r="AV205" i="2"/>
  <c r="F101" i="2"/>
  <c r="G64" i="2"/>
  <c r="G57" i="2" s="1"/>
  <c r="P41" i="2"/>
  <c r="G102" i="2"/>
  <c r="G82" i="2" s="1"/>
  <c r="G43" i="2"/>
  <c r="P74" i="2"/>
  <c r="H41" i="2"/>
  <c r="AT206" i="2"/>
  <c r="AU207" i="2"/>
  <c r="AS205" i="2"/>
  <c r="AS207" i="2"/>
  <c r="AR206" i="2"/>
  <c r="AQ205" i="2"/>
  <c r="AT207" i="2"/>
  <c r="AS206" i="2"/>
  <c r="AR205" i="2"/>
  <c r="BD201" i="2"/>
  <c r="BD202" i="2" s="1"/>
  <c r="BF203" i="2"/>
  <c r="BF204" i="2" s="1"/>
  <c r="AP205" i="2"/>
  <c r="AR207" i="2"/>
  <c r="AQ206" i="2"/>
  <c r="AF209" i="2"/>
  <c r="BK201" i="2"/>
  <c r="BK202" i="2" s="1"/>
  <c r="BK203" i="2"/>
  <c r="BE201" i="2"/>
  <c r="BE202" i="2" s="1"/>
  <c r="BE203" i="2"/>
  <c r="BE204" i="2" s="1"/>
  <c r="AQ207" i="2"/>
  <c r="AO205" i="2"/>
  <c r="AP206" i="2"/>
  <c r="BJ203" i="2"/>
  <c r="BJ204" i="2" s="1"/>
  <c r="BJ201" i="2"/>
  <c r="BJ202" i="2" s="1"/>
  <c r="BG203" i="2"/>
  <c r="BB201" i="2"/>
  <c r="BB202" i="2" s="1"/>
  <c r="BB203" i="2"/>
  <c r="BB204" i="2" s="1"/>
  <c r="D179" i="2"/>
  <c r="AV206" i="2"/>
  <c r="AW207" i="2"/>
  <c r="AU205" i="2"/>
  <c r="BA201" i="2"/>
  <c r="BA202" i="2" s="1"/>
  <c r="AE209" i="2"/>
  <c r="L65" i="2"/>
  <c r="L64" i="2"/>
  <c r="AK205" i="2"/>
  <c r="AK209" i="2" s="1"/>
  <c r="AM207" i="2"/>
  <c r="AL206" i="2"/>
  <c r="AL209" i="2" s="1"/>
  <c r="F109" i="2"/>
  <c r="F110" i="2" s="1"/>
  <c r="D15" i="4"/>
  <c r="E168" i="2" s="1"/>
  <c r="BA204" i="2" l="1"/>
  <c r="BI201" i="2"/>
  <c r="BI202" i="2" s="1"/>
  <c r="BA207" i="2"/>
  <c r="P147" i="2"/>
  <c r="AY207" i="2"/>
  <c r="AW205" i="2"/>
  <c r="AW209" i="2" s="1"/>
  <c r="AX206" i="2"/>
  <c r="AX209" i="2" s="1"/>
  <c r="BK204" i="2"/>
  <c r="BK205" i="2" s="1"/>
  <c r="BH201" i="2"/>
  <c r="BH202" i="2" s="1"/>
  <c r="AM209" i="2"/>
  <c r="BI204" i="2"/>
  <c r="BI205" i="2" s="1"/>
  <c r="AZ203" i="2"/>
  <c r="AZ204" i="2" s="1"/>
  <c r="BB207" i="2" s="1"/>
  <c r="BC201" i="2"/>
  <c r="BC202" i="2" s="1"/>
  <c r="I151" i="2"/>
  <c r="P151" i="2" s="1"/>
  <c r="G65" i="2"/>
  <c r="AN205" i="2"/>
  <c r="AN209" i="2" s="1"/>
  <c r="AO206" i="2"/>
  <c r="AO209" i="2" s="1"/>
  <c r="AP207" i="2"/>
  <c r="AP209" i="2" s="1"/>
  <c r="AV209" i="2"/>
  <c r="AY205" i="2"/>
  <c r="AI209" i="2"/>
  <c r="D78" i="2"/>
  <c r="D79" i="2" s="1"/>
  <c r="Q76" i="2"/>
  <c r="G45" i="2"/>
  <c r="O57" i="2" s="1"/>
  <c r="G121" i="2"/>
  <c r="AT209" i="2"/>
  <c r="G81" i="2"/>
  <c r="O64" i="2" s="1"/>
  <c r="O65" i="2"/>
  <c r="Q74" i="2"/>
  <c r="H43" i="2"/>
  <c r="H102" i="2"/>
  <c r="H82" i="2" s="1"/>
  <c r="H64" i="2"/>
  <c r="H57" i="2" s="1"/>
  <c r="Q41" i="2"/>
  <c r="D181" i="2"/>
  <c r="D184" i="2" s="1"/>
  <c r="AU209" i="2"/>
  <c r="BL207" i="2"/>
  <c r="BJ205" i="2"/>
  <c r="BK206" i="2"/>
  <c r="BC206" i="2"/>
  <c r="BB205" i="2"/>
  <c r="BD207" i="2"/>
  <c r="BJ207" i="2"/>
  <c r="BI206" i="2"/>
  <c r="BH205" i="2"/>
  <c r="BE206" i="2"/>
  <c r="BD205" i="2"/>
  <c r="BF207" i="2"/>
  <c r="AQ209" i="2"/>
  <c r="BA205" i="2"/>
  <c r="BC207" i="2"/>
  <c r="BB206" i="2"/>
  <c r="BC205" i="2"/>
  <c r="BD206" i="2"/>
  <c r="BE207" i="2"/>
  <c r="BG204" i="2"/>
  <c r="BE205" i="2"/>
  <c r="BF206" i="2"/>
  <c r="BG207" i="2"/>
  <c r="BG206" i="2"/>
  <c r="BF205" i="2"/>
  <c r="BH207" i="2"/>
  <c r="AS209" i="2"/>
  <c r="AR209" i="2"/>
  <c r="G101" i="2"/>
  <c r="H45" i="2"/>
  <c r="P57" i="2" s="1"/>
  <c r="G109" i="2"/>
  <c r="G110" i="2" s="1"/>
  <c r="E15" i="4"/>
  <c r="E176" i="2" s="1"/>
  <c r="E178" i="2" s="1"/>
  <c r="BM207" i="2" l="1"/>
  <c r="F78" i="2"/>
  <c r="BL206" i="2"/>
  <c r="H101" i="2" s="1"/>
  <c r="AY209" i="2"/>
  <c r="BJ206" i="2"/>
  <c r="BK207" i="2"/>
  <c r="BK209" i="2" s="1"/>
  <c r="BA206" i="2"/>
  <c r="BA209" i="2" s="1"/>
  <c r="H65" i="2"/>
  <c r="AZ205" i="2"/>
  <c r="AZ209" i="2" s="1"/>
  <c r="H121" i="2"/>
  <c r="E180" i="2"/>
  <c r="G78" i="2"/>
  <c r="P65" i="2"/>
  <c r="H81" i="2"/>
  <c r="P64" i="2" s="1"/>
  <c r="BF209" i="2"/>
  <c r="BJ209" i="2"/>
  <c r="BI207" i="2"/>
  <c r="BI209" i="2" s="1"/>
  <c r="BH206" i="2"/>
  <c r="BH209" i="2" s="1"/>
  <c r="BG205" i="2"/>
  <c r="BG209" i="2" s="1"/>
  <c r="BC209" i="2"/>
  <c r="BD209" i="2"/>
  <c r="BE209" i="2"/>
  <c r="BB209" i="2"/>
  <c r="H109" i="2"/>
  <c r="H110" i="2" s="1"/>
  <c r="F15" i="4"/>
  <c r="C16" i="4" s="1"/>
  <c r="H78" i="2" l="1"/>
  <c r="D16" i="4"/>
  <c r="F168" i="2" s="1"/>
  <c r="E16" i="4" l="1"/>
  <c r="F176" i="2" s="1"/>
  <c r="F178" i="2" l="1"/>
  <c r="F179" i="2" s="1"/>
  <c r="F16" i="4"/>
  <c r="C17" i="4" s="1"/>
  <c r="D17" i="4" l="1"/>
  <c r="G168" i="2" s="1"/>
  <c r="E17" i="4" l="1"/>
  <c r="G176" i="2" s="1"/>
  <c r="G178" i="2" l="1"/>
  <c r="G179" i="2" s="1"/>
  <c r="F17" i="4"/>
  <c r="C18" i="4" s="1"/>
  <c r="D18" i="4" l="1"/>
  <c r="H168" i="2" s="1"/>
  <c r="E18" i="4" l="1"/>
  <c r="H176" i="2" s="1"/>
  <c r="H178" i="2" l="1"/>
  <c r="H179" i="2" s="1"/>
  <c r="F18" i="4"/>
  <c r="C19" i="4" s="1"/>
  <c r="D19" i="4" l="1"/>
  <c r="I168" i="2" s="1"/>
  <c r="E19" i="4" l="1"/>
  <c r="I176" i="2" s="1"/>
  <c r="I178" i="2" l="1"/>
  <c r="I179" i="2" s="1"/>
  <c r="F19" i="4"/>
  <c r="C20" i="4" s="1"/>
  <c r="D20" i="4" l="1"/>
  <c r="J168" i="2" s="1"/>
  <c r="E20" i="4" l="1"/>
  <c r="J176" i="2" s="1"/>
  <c r="J178" i="2" l="1"/>
  <c r="J179" i="2" s="1"/>
  <c r="F20" i="4"/>
  <c r="C21" i="4" s="1"/>
  <c r="D21" i="4" l="1"/>
  <c r="K168" i="2" s="1"/>
  <c r="E21" i="4" l="1"/>
  <c r="K176" i="2" s="1"/>
  <c r="K178" i="2" l="1"/>
  <c r="K179" i="2" s="1"/>
  <c r="F21" i="4"/>
  <c r="C22" i="4" s="1"/>
  <c r="D22" i="4" l="1"/>
  <c r="L168" i="2" s="1"/>
  <c r="E22" i="4" l="1"/>
  <c r="L176" i="2" s="1"/>
  <c r="L178" i="2" l="1"/>
  <c r="L179" i="2" s="1"/>
  <c r="F22" i="4"/>
  <c r="C23" i="4" s="1"/>
  <c r="D23" i="4" l="1"/>
  <c r="M168" i="2" s="1"/>
  <c r="E23" i="4" l="1"/>
  <c r="M176" i="2" s="1"/>
  <c r="M178" i="2" l="1"/>
  <c r="M179" i="2" s="1"/>
  <c r="F23" i="4"/>
  <c r="C24" i="4" s="1"/>
  <c r="D24" i="4" l="1"/>
  <c r="N168" i="2" s="1"/>
  <c r="E24" i="4" l="1"/>
  <c r="N176" i="2" s="1"/>
  <c r="N178" i="2" l="1"/>
  <c r="N179" i="2" s="1"/>
  <c r="P177" i="2"/>
  <c r="F24" i="4"/>
  <c r="C25" i="4" s="1"/>
  <c r="D25" i="4" l="1"/>
  <c r="O168" i="2" s="1"/>
  <c r="E25" i="4" l="1"/>
  <c r="O176" i="2" s="1"/>
  <c r="F25" i="4" l="1"/>
  <c r="D26" i="4" s="1"/>
  <c r="C26" i="4" l="1"/>
  <c r="P176" i="2"/>
  <c r="D89" i="2" s="1"/>
  <c r="O178" i="2"/>
  <c r="E26" i="4"/>
  <c r="O179" i="2" l="1"/>
  <c r="F26" i="4"/>
  <c r="C27" i="4" s="1"/>
  <c r="D27" i="4" l="1"/>
  <c r="E27" i="4" l="1"/>
  <c r="F27" i="4" l="1"/>
  <c r="C28" i="4" s="1"/>
  <c r="D28" i="4" l="1"/>
  <c r="E28" i="4" l="1"/>
  <c r="F28" i="4" l="1"/>
  <c r="C29" i="4" s="1"/>
  <c r="D29" i="4" l="1"/>
  <c r="E29" i="4" l="1"/>
  <c r="F29" i="4" l="1"/>
  <c r="C30" i="4" s="1"/>
  <c r="D30" i="4" l="1"/>
  <c r="E30" i="4" l="1"/>
  <c r="F30" i="4" l="1"/>
  <c r="C31" i="4" s="1"/>
  <c r="D31" i="4" l="1"/>
  <c r="E31" i="4" l="1"/>
  <c r="F31" i="4" s="1"/>
  <c r="C32" i="4" s="1"/>
  <c r="D32" i="4" l="1"/>
  <c r="E32" i="4" l="1"/>
  <c r="F32" i="4" l="1"/>
  <c r="C33" i="4" s="1"/>
  <c r="D33" i="4" l="1"/>
  <c r="E33" i="4" s="1"/>
  <c r="F33" i="4" s="1"/>
  <c r="C34" i="4" s="1"/>
  <c r="D34" i="4" l="1"/>
  <c r="E34" i="4" s="1"/>
  <c r="F34" i="4" s="1"/>
  <c r="C35" i="4" s="1"/>
  <c r="D35" i="4" l="1"/>
  <c r="E35" i="4" s="1"/>
  <c r="F35" i="4" s="1"/>
  <c r="C36" i="4" s="1"/>
  <c r="D36" i="4" l="1"/>
  <c r="E36" i="4" s="1"/>
  <c r="F36" i="4" s="1"/>
  <c r="C37" i="4" s="1"/>
  <c r="D37" i="4" l="1"/>
  <c r="E55" i="2" s="1"/>
  <c r="E37" i="4" l="1"/>
  <c r="E89" i="2" l="1"/>
  <c r="D116" i="2" s="1"/>
  <c r="F37" i="4"/>
  <c r="C38" i="4" s="1"/>
  <c r="D38" i="4" l="1"/>
  <c r="E38" i="4" l="1"/>
  <c r="F38" i="4" l="1"/>
  <c r="C39" i="4" s="1"/>
  <c r="D39" i="4" l="1"/>
  <c r="E39" i="4" l="1"/>
  <c r="F39" i="4" l="1"/>
  <c r="C40" i="4" s="1"/>
  <c r="D40" i="4" l="1"/>
  <c r="E40" i="4" l="1"/>
  <c r="F40" i="4" l="1"/>
  <c r="C41" i="4" s="1"/>
  <c r="D41" i="4" l="1"/>
  <c r="E41" i="4" l="1"/>
  <c r="F41" i="4" l="1"/>
  <c r="C42" i="4" s="1"/>
  <c r="D42" i="4" l="1"/>
  <c r="E42" i="4" l="1"/>
  <c r="F42" i="4" l="1"/>
  <c r="C43" i="4" s="1"/>
  <c r="D43" i="4" l="1"/>
  <c r="E43" i="4" l="1"/>
  <c r="F43" i="4" l="1"/>
  <c r="C44" i="4" s="1"/>
  <c r="D44" i="4" l="1"/>
  <c r="E44" i="4" l="1"/>
  <c r="F44" i="4" l="1"/>
  <c r="C45" i="4" s="1"/>
  <c r="D45" i="4" l="1"/>
  <c r="E45" i="4" l="1"/>
  <c r="F45" i="4" l="1"/>
  <c r="C46" i="4" s="1"/>
  <c r="D46" i="4" l="1"/>
  <c r="E46" i="4" l="1"/>
  <c r="F46" i="4" l="1"/>
  <c r="C47" i="4" s="1"/>
  <c r="D47" i="4" l="1"/>
  <c r="E47" i="4" l="1"/>
  <c r="F47" i="4" l="1"/>
  <c r="C48" i="4" s="1"/>
  <c r="D48" i="4" l="1"/>
  <c r="E48" i="4" l="1"/>
  <c r="F48" i="4" l="1"/>
  <c r="C49" i="4" s="1"/>
  <c r="D49" i="4" l="1"/>
  <c r="F55" i="2" s="1"/>
  <c r="D120" i="2"/>
  <c r="E49" i="4" l="1"/>
  <c r="F89" i="2" s="1"/>
  <c r="E66" i="2"/>
  <c r="E83" i="2" s="1"/>
  <c r="E116" i="2" l="1"/>
  <c r="E120" i="2" s="1"/>
  <c r="F49" i="4"/>
  <c r="C50" i="4" s="1"/>
  <c r="E68" i="2"/>
  <c r="E69" i="2" s="1"/>
  <c r="N42" i="2"/>
  <c r="M58" i="2" l="1"/>
  <c r="N75" i="2"/>
  <c r="D50" i="4"/>
  <c r="E50" i="4" l="1"/>
  <c r="E71" i="2"/>
  <c r="F85" i="2"/>
  <c r="E115" i="2"/>
  <c r="E117" i="2" l="1"/>
  <c r="E122" i="2"/>
  <c r="N43" i="2"/>
  <c r="F50" i="4"/>
  <c r="C51" i="4" s="1"/>
  <c r="D51" i="4" l="1"/>
  <c r="E51" i="4" l="1"/>
  <c r="F51" i="4" l="1"/>
  <c r="C52" i="4" s="1"/>
  <c r="D52" i="4" l="1"/>
  <c r="E52" i="4" l="1"/>
  <c r="F52" i="4" l="1"/>
  <c r="C53" i="4" s="1"/>
  <c r="D53" i="4" l="1"/>
  <c r="E53" i="4" l="1"/>
  <c r="F53" i="4" l="1"/>
  <c r="C54" i="4" s="1"/>
  <c r="D54" i="4" l="1"/>
  <c r="E54" i="4" l="1"/>
  <c r="F54" i="4" l="1"/>
  <c r="C55" i="4" s="1"/>
  <c r="D55" i="4" l="1"/>
  <c r="E55" i="4" l="1"/>
  <c r="F55" i="4" l="1"/>
  <c r="C56" i="4" s="1"/>
  <c r="D56" i="4" l="1"/>
  <c r="E56" i="4" l="1"/>
  <c r="F56" i="4" l="1"/>
  <c r="C57" i="4" s="1"/>
  <c r="D57" i="4" l="1"/>
  <c r="E57" i="4" s="1"/>
  <c r="F57" i="4" l="1"/>
  <c r="C58" i="4" s="1"/>
  <c r="D58" i="4" l="1"/>
  <c r="E58" i="4" s="1"/>
  <c r="F58" i="4" s="1"/>
  <c r="C59" i="4" l="1"/>
  <c r="D59" i="4"/>
  <c r="E59" i="4" s="1"/>
  <c r="F59" i="4" s="1"/>
  <c r="C60" i="4" l="1"/>
  <c r="D60" i="4"/>
  <c r="E60" i="4" s="1"/>
  <c r="F60" i="4" s="1"/>
  <c r="C61" i="4" s="1"/>
  <c r="D61" i="4" l="1"/>
  <c r="F66" i="2"/>
  <c r="F83" i="2" s="1"/>
  <c r="F90" i="2" s="1"/>
  <c r="E61" i="4"/>
  <c r="G89" i="2" s="1"/>
  <c r="G55" i="2" l="1"/>
  <c r="G66" i="2" s="1"/>
  <c r="F68" i="2"/>
  <c r="F69" i="2" s="1"/>
  <c r="O42" i="2"/>
  <c r="F116" i="2"/>
  <c r="F120" i="2" s="1"/>
  <c r="F61" i="4"/>
  <c r="C62" i="4" s="1"/>
  <c r="G83" i="2" l="1"/>
  <c r="G68" i="2"/>
  <c r="G69" i="2" s="1"/>
  <c r="G71" i="2" s="1"/>
  <c r="P43" i="2" s="1"/>
  <c r="P42" i="2"/>
  <c r="P75" i="2"/>
  <c r="O58" i="2"/>
  <c r="H85" i="2"/>
  <c r="N58" i="2"/>
  <c r="O75" i="2"/>
  <c r="D62" i="4"/>
  <c r="F71" i="2"/>
  <c r="F115" i="2"/>
  <c r="G85" i="2"/>
  <c r="G90" i="2" s="1"/>
  <c r="G115" i="2" l="1"/>
  <c r="E62" i="4"/>
  <c r="F122" i="2"/>
  <c r="F117" i="2"/>
  <c r="O43" i="2"/>
  <c r="F62" i="4" l="1"/>
  <c r="C63" i="4" s="1"/>
  <c r="D63" i="4" l="1"/>
  <c r="E63" i="4" s="1"/>
  <c r="F63" i="4" l="1"/>
  <c r="C64" i="4" l="1"/>
  <c r="D64" i="4"/>
  <c r="E64" i="4" l="1"/>
  <c r="F64" i="4" l="1"/>
  <c r="C65" i="4" l="1"/>
  <c r="D65" i="4"/>
  <c r="E65" i="4" l="1"/>
  <c r="P168" i="2"/>
  <c r="D55" i="2" s="1"/>
  <c r="D66" i="2" s="1"/>
  <c r="P178" i="2"/>
  <c r="P181" i="2" s="1"/>
  <c r="F65" i="4" l="1"/>
  <c r="D83" i="2"/>
  <c r="D90" i="2" s="1"/>
  <c r="D91" i="2" s="1"/>
  <c r="M44" i="2" s="1"/>
  <c r="M42" i="2"/>
  <c r="E179" i="2"/>
  <c r="E181" i="2" s="1"/>
  <c r="E184" i="2" s="1"/>
  <c r="D68" i="2"/>
  <c r="D69" i="2" s="1"/>
  <c r="C66" i="4" l="1"/>
  <c r="D66" i="4"/>
  <c r="E66" i="4" s="1"/>
  <c r="F180" i="2"/>
  <c r="F181" i="2" s="1"/>
  <c r="F184" i="2" s="1"/>
  <c r="D100" i="2"/>
  <c r="D103" i="2" s="1"/>
  <c r="E74" i="2"/>
  <c r="E79" i="2" s="1"/>
  <c r="M77" i="2"/>
  <c r="M75" i="2"/>
  <c r="L58" i="2"/>
  <c r="D71" i="2"/>
  <c r="F66" i="4" l="1"/>
  <c r="G180" i="2"/>
  <c r="G181" i="2" s="1"/>
  <c r="G184" i="2" s="1"/>
  <c r="D126" i="2"/>
  <c r="M43" i="2"/>
  <c r="D115" i="2"/>
  <c r="L52" i="2" s="1"/>
  <c r="E85" i="2"/>
  <c r="E90" i="2" s="1"/>
  <c r="E91" i="2" s="1"/>
  <c r="N44" i="2" s="1"/>
  <c r="D112" i="2"/>
  <c r="C67" i="4" l="1"/>
  <c r="D67" i="4"/>
  <c r="E67" i="4" s="1"/>
  <c r="F67" i="4" s="1"/>
  <c r="H180" i="2"/>
  <c r="H181" i="2" s="1"/>
  <c r="H184" i="2" s="1"/>
  <c r="L59" i="2"/>
  <c r="L60" i="2"/>
  <c r="F74" i="2"/>
  <c r="F79" i="2" s="1"/>
  <c r="F91" i="2" s="1"/>
  <c r="O44" i="2" s="1"/>
  <c r="N77" i="2"/>
  <c r="E100" i="2"/>
  <c r="D117" i="2"/>
  <c r="D122" i="2"/>
  <c r="D128" i="2"/>
  <c r="L61" i="2" s="1"/>
  <c r="E126" i="2"/>
  <c r="C68" i="4" l="1"/>
  <c r="D68" i="4"/>
  <c r="E68" i="4" s="1"/>
  <c r="F68" i="4" s="1"/>
  <c r="I180" i="2"/>
  <c r="I181" i="2" s="1"/>
  <c r="I184" i="2" s="1"/>
  <c r="M53" i="2"/>
  <c r="E103" i="2"/>
  <c r="D130" i="2"/>
  <c r="D132" i="2" s="1"/>
  <c r="L54" i="2"/>
  <c r="L53" i="2"/>
  <c r="M78" i="2"/>
  <c r="E128" i="2"/>
  <c r="F126" i="2"/>
  <c r="G74" i="2"/>
  <c r="G79" i="2" s="1"/>
  <c r="G91" i="2" s="1"/>
  <c r="P44" i="2" s="1"/>
  <c r="F100" i="2"/>
  <c r="O77" i="2"/>
  <c r="C69" i="4" l="1"/>
  <c r="D69" i="4"/>
  <c r="E69" i="4" s="1"/>
  <c r="F69" i="4" s="1"/>
  <c r="J180" i="2"/>
  <c r="J181" i="2" s="1"/>
  <c r="J184" i="2" s="1"/>
  <c r="F128" i="2"/>
  <c r="G126" i="2"/>
  <c r="N53" i="2"/>
  <c r="F103" i="2"/>
  <c r="P77" i="2"/>
  <c r="H74" i="2"/>
  <c r="H79" i="2" s="1"/>
  <c r="G100" i="2"/>
  <c r="N78" i="2"/>
  <c r="M52" i="2"/>
  <c r="E112" i="2"/>
  <c r="M54" i="2"/>
  <c r="E130" i="2"/>
  <c r="M61" i="2"/>
  <c r="C70" i="4" l="1"/>
  <c r="D70" i="4"/>
  <c r="E70" i="4" s="1"/>
  <c r="F70" i="4" s="1"/>
  <c r="K180" i="2"/>
  <c r="K181" i="2" s="1"/>
  <c r="K184" i="2" s="1"/>
  <c r="E132" i="2"/>
  <c r="G128" i="2"/>
  <c r="G103" i="2"/>
  <c r="F112" i="2"/>
  <c r="O78" i="2"/>
  <c r="N52" i="2"/>
  <c r="M59" i="2"/>
  <c r="M60" i="2"/>
  <c r="N61" i="2"/>
  <c r="F130" i="2"/>
  <c r="N54" i="2"/>
  <c r="C71" i="4" l="1"/>
  <c r="D71" i="4"/>
  <c r="E71" i="4" s="1"/>
  <c r="F71" i="4" s="1"/>
  <c r="L180" i="2"/>
  <c r="L181" i="2" s="1"/>
  <c r="L184" i="2" s="1"/>
  <c r="F132" i="2"/>
  <c r="G112" i="2"/>
  <c r="O61" i="2"/>
  <c r="N60" i="2"/>
  <c r="N59" i="2"/>
  <c r="C72" i="4" l="1"/>
  <c r="D72" i="4"/>
  <c r="E72" i="4" s="1"/>
  <c r="F72" i="4" s="1"/>
  <c r="M180" i="2"/>
  <c r="M181" i="2" s="1"/>
  <c r="M184" i="2" s="1"/>
  <c r="O59" i="2"/>
  <c r="O60" i="2"/>
  <c r="C73" i="4" l="1"/>
  <c r="D73" i="4"/>
  <c r="H55" i="2" s="1"/>
  <c r="N180" i="2"/>
  <c r="N181" i="2" s="1"/>
  <c r="N184" i="2" s="1"/>
  <c r="E73" i="4" l="1"/>
  <c r="H89" i="2" s="1"/>
  <c r="H66" i="2"/>
  <c r="O180" i="2"/>
  <c r="O181" i="2" s="1"/>
  <c r="O184" i="2" s="1"/>
  <c r="Q42" i="2" l="1"/>
  <c r="H83" i="2"/>
  <c r="H68" i="2"/>
  <c r="G116" i="2"/>
  <c r="G120" i="2" s="1"/>
  <c r="H120" i="2" s="1"/>
  <c r="F73" i="4"/>
  <c r="F74" i="4" l="1"/>
  <c r="C74" i="4"/>
  <c r="D74" i="4"/>
  <c r="G117" i="2"/>
  <c r="O52" i="2"/>
  <c r="Q75" i="2"/>
  <c r="P58" i="2"/>
  <c r="H69" i="2"/>
  <c r="H90" i="2"/>
  <c r="H91" i="2" s="1"/>
  <c r="G122" i="2" l="1"/>
  <c r="G130" i="2" s="1"/>
  <c r="G132" i="2" s="1"/>
  <c r="Q44" i="2"/>
  <c r="Q77" i="2"/>
  <c r="H100" i="2"/>
  <c r="O53" i="2"/>
  <c r="P78" i="2"/>
  <c r="H71" i="2"/>
  <c r="H115" i="2"/>
  <c r="C75" i="4"/>
  <c r="F75" i="4"/>
  <c r="D75" i="4"/>
  <c r="O54" i="2" l="1"/>
  <c r="Q43" i="2"/>
  <c r="H126" i="2"/>
  <c r="H128" i="2" s="1"/>
  <c r="P61" i="2" s="1"/>
  <c r="H103" i="2"/>
  <c r="F76" i="4"/>
  <c r="C76" i="4"/>
  <c r="D76" i="4"/>
  <c r="H117" i="2"/>
  <c r="P53" i="2" s="1"/>
  <c r="H122" i="2"/>
  <c r="F77" i="4" l="1"/>
  <c r="D77" i="4"/>
  <c r="C77" i="4"/>
  <c r="P52" i="2"/>
  <c r="H112" i="2"/>
  <c r="Q78" i="2"/>
  <c r="P54" i="2"/>
  <c r="H130" i="2"/>
  <c r="H132" i="2" l="1"/>
  <c r="P59" i="2"/>
  <c r="P60" i="2"/>
  <c r="D78" i="4"/>
  <c r="F78" i="4"/>
  <c r="C78" i="4"/>
  <c r="D79" i="4" l="1"/>
  <c r="C79" i="4"/>
  <c r="F79" i="4"/>
  <c r="F80" i="4" l="1"/>
  <c r="D80" i="4"/>
  <c r="C80" i="4"/>
  <c r="C81" i="4" l="1"/>
  <c r="F81" i="4"/>
  <c r="D81" i="4"/>
  <c r="F82" i="4" l="1"/>
  <c r="D82" i="4"/>
  <c r="C82" i="4"/>
  <c r="C83" i="4" l="1"/>
  <c r="D83" i="4"/>
  <c r="F83" i="4"/>
  <c r="D84" i="4" l="1"/>
  <c r="C84" i="4"/>
  <c r="F84" i="4"/>
  <c r="F85" i="4" l="1"/>
  <c r="D85" i="4"/>
  <c r="C8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SWhelly</author>
  </authors>
  <commentList>
    <comment ref="D3" authorId="0" shapeId="0" xr:uid="{00000000-0006-0000-0000-000001000000}">
      <text>
        <r>
          <rPr>
            <b/>
            <sz val="9"/>
            <color indexed="81"/>
            <rFont val="Tahoma"/>
            <family val="2"/>
          </rPr>
          <t xml:space="preserve">Put the year here
</t>
        </r>
        <r>
          <rPr>
            <sz val="9"/>
            <color indexed="81"/>
            <rFont val="Tahoma"/>
            <family val="2"/>
          </rPr>
          <t xml:space="preserve">
</t>
        </r>
      </text>
    </comment>
    <comment ref="D4" authorId="0" shapeId="0" xr:uid="{00000000-0006-0000-0000-000002000000}">
      <text>
        <r>
          <rPr>
            <sz val="9"/>
            <color indexed="81"/>
            <rFont val="Tahoma"/>
            <family val="2"/>
          </rPr>
          <t xml:space="preserve">This is calculated from the monthly cash flow 
</t>
        </r>
      </text>
    </comment>
    <comment ref="D5" authorId="0" shapeId="0" xr:uid="{00000000-0006-0000-0000-000003000000}">
      <text>
        <r>
          <rPr>
            <b/>
            <sz val="9"/>
            <color indexed="81"/>
            <rFont val="Tahoma"/>
            <family val="2"/>
          </rPr>
          <t>estimate a total 2nd year sales figure</t>
        </r>
        <r>
          <rPr>
            <sz val="9"/>
            <color indexed="81"/>
            <rFont val="Tahoma"/>
            <family val="2"/>
          </rPr>
          <t xml:space="preserve">
</t>
        </r>
      </text>
    </comment>
    <comment ref="D6" authorId="0" shapeId="0" xr:uid="{00000000-0006-0000-0000-000004000000}">
      <text>
        <r>
          <rPr>
            <b/>
            <sz val="9"/>
            <color indexed="81"/>
            <rFont val="Tahoma"/>
            <family val="2"/>
          </rPr>
          <t xml:space="preserve">keep the annual growth reasonable since it is cumulative: most likely between 2-5%.
</t>
        </r>
      </text>
    </comment>
    <comment ref="D9" authorId="0" shapeId="0" xr:uid="{A039B8A3-F345-44DF-96B7-5B22B8FBDAA0}">
      <text>
        <r>
          <rPr>
            <b/>
            <sz val="9"/>
            <color indexed="81"/>
            <rFont val="Tahoma"/>
            <family val="2"/>
          </rPr>
          <t xml:space="preserve">Worker's Safety and Compensation Rate: Consult your provincial WSCC website.  Rates are generally between 2 and 6 % depending on level of risk
</t>
        </r>
        <r>
          <rPr>
            <sz val="9"/>
            <color indexed="81"/>
            <rFont val="Tahoma"/>
            <family val="2"/>
          </rPr>
          <t xml:space="preserve">
</t>
        </r>
      </text>
    </comment>
    <comment ref="D11" authorId="0" shapeId="0" xr:uid="{642E0624-C31D-4BB1-A0FB-9749C0989169}">
      <text>
        <r>
          <rPr>
            <b/>
            <sz val="9"/>
            <color indexed="81"/>
            <rFont val="Tahoma"/>
            <family val="2"/>
          </rPr>
          <t xml:space="preserve">If some of contribution is for expenses, not capital put that amount here, as it must be claimed as revenue when expensed </t>
        </r>
        <r>
          <rPr>
            <sz val="9"/>
            <color indexed="81"/>
            <rFont val="Tahoma"/>
            <family val="2"/>
          </rPr>
          <t xml:space="preserve">
</t>
        </r>
      </text>
    </comment>
    <comment ref="D13" authorId="0" shapeId="0" xr:uid="{00000000-0006-0000-0000-000005000000}">
      <text>
        <r>
          <rPr>
            <b/>
            <sz val="9"/>
            <color indexed="81"/>
            <rFont val="Tahoma"/>
            <family val="2"/>
          </rPr>
          <t>If multiple equip, add together if in same CRA capital cost category, i.e.: 20%.  Both Asset 1 and Asset 2 are</t>
        </r>
        <r>
          <rPr>
            <sz val="9"/>
            <color indexed="81"/>
            <rFont val="Tahoma"/>
            <family val="2"/>
          </rPr>
          <t xml:space="preserve">
assets that are fully or partially being paid for with contributed money (grants, contributions, etc).  This is to properly account for the liability associated (deferred revenue).</t>
        </r>
      </text>
    </comment>
    <comment ref="D17" authorId="0" shapeId="0" xr:uid="{EEBAF4AA-413F-42FE-B9AE-B5715261B288}">
      <text>
        <r>
          <rPr>
            <b/>
            <sz val="9"/>
            <color indexed="81"/>
            <rFont val="Tahoma"/>
            <family val="2"/>
          </rPr>
          <t>This is a declining balance method vs. straight line, etc. Consult CRA rules about Capital Cost Allowance, if you want to be consistent with tax rules.</t>
        </r>
        <r>
          <rPr>
            <sz val="9"/>
            <color indexed="81"/>
            <rFont val="Tahoma"/>
            <family val="2"/>
          </rPr>
          <t xml:space="preserve">
</t>
        </r>
      </text>
    </comment>
    <comment ref="D22" authorId="0" shapeId="0" xr:uid="{EA86B911-1F09-4C67-9C94-39B519271C32}">
      <text>
        <r>
          <rPr>
            <b/>
            <sz val="9"/>
            <color indexed="81"/>
            <rFont val="Tahoma"/>
            <family val="2"/>
          </rPr>
          <t>This will automatically keep inventory levels consistent.  Try to estimate how often in each year the inventory will "turnover" in a year.  If 4 times, then 25% of COGS is about right.</t>
        </r>
        <r>
          <rPr>
            <sz val="9"/>
            <color indexed="81"/>
            <rFont val="Tahoma"/>
            <family val="2"/>
          </rPr>
          <t xml:space="preserve">
</t>
        </r>
      </text>
    </comment>
    <comment ref="D24" authorId="0" shapeId="0" xr:uid="{00000000-0006-0000-0000-000006000000}">
      <text>
        <r>
          <rPr>
            <b/>
            <sz val="9"/>
            <color indexed="81"/>
            <rFont val="Tahoma"/>
            <family val="2"/>
          </rPr>
          <t xml:space="preserve">typically variable costs such as goods or labour that increase directly with sales
</t>
        </r>
        <r>
          <rPr>
            <sz val="9"/>
            <color indexed="81"/>
            <rFont val="Tahoma"/>
            <family val="2"/>
          </rPr>
          <t xml:space="preserve">
</t>
        </r>
      </text>
    </comment>
    <comment ref="D25" authorId="0" shapeId="0" xr:uid="{E22260EF-61A8-41A0-86BC-281E5A8D60BB}">
      <text>
        <r>
          <rPr>
            <b/>
            <sz val="9"/>
            <color indexed="81"/>
            <rFont val="Tahoma"/>
            <family val="2"/>
          </rPr>
          <t xml:space="preserve">Start with a higher amount.  Make sure the cash flow in the chart to the right and the cash flow below show that there is little to no need for additional working capital during initial startup.
</t>
        </r>
        <r>
          <rPr>
            <sz val="9"/>
            <color indexed="81"/>
            <rFont val="Tahoma"/>
            <family val="2"/>
          </rPr>
          <t xml:space="preserve">
</t>
        </r>
      </text>
    </comment>
    <comment ref="D27" authorId="0" shapeId="0" xr:uid="{A466AD85-C3A5-4287-BF36-2B58D8EBEF05}">
      <text>
        <r>
          <rPr>
            <b/>
            <sz val="9"/>
            <color indexed="81"/>
            <rFont val="Tahoma"/>
            <family val="2"/>
          </rPr>
          <t xml:space="preserve">Maximum 5 year term.  </t>
        </r>
        <r>
          <rPr>
            <sz val="9"/>
            <color indexed="81"/>
            <rFont val="Tahoma"/>
            <family val="2"/>
          </rPr>
          <t xml:space="preserve">
</t>
        </r>
      </text>
    </comment>
    <comment ref="D28" authorId="0" shapeId="0" xr:uid="{02F1AA06-0273-45E3-853F-1FAE2C53D7B5}">
      <text>
        <r>
          <rPr>
            <b/>
            <sz val="9"/>
            <color indexed="81"/>
            <rFont val="Tahoma"/>
            <family val="2"/>
          </rPr>
          <t xml:space="preserve">Most lenders require at least 5 to 10% cash equity (owner's investment) to cover startup and purchase of assets, etc.
</t>
        </r>
        <r>
          <rPr>
            <sz val="9"/>
            <color indexed="81"/>
            <rFont val="Tahoma"/>
            <family val="2"/>
          </rPr>
          <t xml:space="preserve">
</t>
        </r>
      </text>
    </comment>
    <comment ref="D29" authorId="0" shapeId="0" xr:uid="{06F24861-21B6-4461-9ED4-0AAB543C3C13}">
      <text>
        <r>
          <rPr>
            <b/>
            <sz val="9"/>
            <color indexed="81"/>
            <rFont val="Tahoma"/>
            <family val="2"/>
          </rPr>
          <t>Cash flow will be affected by collections.  Ensure that immediate/30/60/90 adds up to 100%</t>
        </r>
        <r>
          <rPr>
            <sz val="9"/>
            <color indexed="81"/>
            <rFont val="Tahoma"/>
            <family val="2"/>
          </rPr>
          <t xml:space="preserve">
</t>
        </r>
      </text>
    </comment>
    <comment ref="D33" authorId="0" shapeId="0" xr:uid="{D817303C-349F-4B8B-B2FA-7E3E10699C66}">
      <text>
        <r>
          <rPr>
            <b/>
            <sz val="9"/>
            <color indexed="81"/>
            <rFont val="Tahoma"/>
            <family val="2"/>
          </rPr>
          <t xml:space="preserve">Bad debt is always a problem and should be accounted for. Anywhere from 1 to 10% might be anticipated, but if that high, there is already a problem.  </t>
        </r>
        <r>
          <rPr>
            <sz val="9"/>
            <color indexed="81"/>
            <rFont val="Tahoma"/>
            <family val="2"/>
          </rPr>
          <t xml:space="preserve">
</t>
        </r>
      </text>
    </comment>
    <comment ref="D34" authorId="0" shapeId="0" xr:uid="{BA1AE9B7-E0DE-4566-BC8C-BD308D151624}">
      <text>
        <r>
          <rPr>
            <b/>
            <sz val="9"/>
            <color indexed="81"/>
            <rFont val="Tahoma"/>
            <family val="2"/>
          </rPr>
          <t>Even if cash flow is positive, allow for some additional infusion of emergency working capital if possible.</t>
        </r>
        <r>
          <rPr>
            <sz val="9"/>
            <color indexed="81"/>
            <rFont val="Tahoma"/>
            <family val="2"/>
          </rPr>
          <t xml:space="preserve">
</t>
        </r>
      </text>
    </comment>
    <comment ref="D35" authorId="0" shapeId="0" xr:uid="{1B8DE7DF-C2A2-4794-847C-CE2D4F9DE3A1}">
      <text>
        <r>
          <rPr>
            <b/>
            <sz val="9"/>
            <color indexed="81"/>
            <rFont val="Tahoma"/>
            <family val="2"/>
          </rPr>
          <t>The green cells need to be filled in.  The red cells are linked from the cash flow below.  All other cells are locked.</t>
        </r>
        <r>
          <rPr>
            <sz val="9"/>
            <color indexed="81"/>
            <rFont val="Tahoma"/>
            <family val="2"/>
          </rPr>
          <t xml:space="preserve">
</t>
        </r>
      </text>
    </comment>
    <comment ref="B139" authorId="0" shapeId="0" xr:uid="{EC2DED81-618F-4EDB-A956-7F8DBD892352}">
      <text>
        <r>
          <rPr>
            <b/>
            <sz val="9"/>
            <color indexed="81"/>
            <rFont val="Tahoma"/>
            <family val="2"/>
          </rPr>
          <t>Fill in Start Up (numbers in Yellow in DATA box - top left of sheet)</t>
        </r>
        <r>
          <rPr>
            <sz val="9"/>
            <color indexed="81"/>
            <rFont val="Tahoma"/>
            <family val="2"/>
          </rPr>
          <t xml:space="preserve">
</t>
        </r>
      </text>
    </comment>
    <comment ref="D142" authorId="0" shapeId="0" xr:uid="{B25F4648-1F20-4D3F-B987-2F44FE023AA4}">
      <text>
        <r>
          <rPr>
            <sz val="9"/>
            <color indexed="81"/>
            <rFont val="Tahoma"/>
            <family val="2"/>
          </rPr>
          <t xml:space="preserve">Pick Jan in Data and use this line if you want a 12 month cash flow in year one.
</t>
        </r>
      </text>
    </comment>
  </commentList>
</comments>
</file>

<file path=xl/sharedStrings.xml><?xml version="1.0" encoding="utf-8"?>
<sst xmlns="http://schemas.openxmlformats.org/spreadsheetml/2006/main" count="274" uniqueCount="243">
  <si>
    <t>Sales</t>
  </si>
  <si>
    <t>Expenses</t>
  </si>
  <si>
    <t>Cash Inflows</t>
  </si>
  <si>
    <t>Cash Outflows</t>
  </si>
  <si>
    <t>Cash Flow and Income Statement</t>
  </si>
  <si>
    <t>Gross Profit</t>
  </si>
  <si>
    <t>Total Operating Expenses</t>
  </si>
  <si>
    <t>Net Profit before Tax</t>
  </si>
  <si>
    <t>Net Profit after Tax</t>
  </si>
  <si>
    <t>Beginning Cash</t>
  </si>
  <si>
    <t xml:space="preserve">     Operating Expenses</t>
  </si>
  <si>
    <t>Total Cash Inflows</t>
  </si>
  <si>
    <t xml:space="preserve">     Taxes</t>
  </si>
  <si>
    <t>Cash Position</t>
  </si>
  <si>
    <t>Total Cash Outflows</t>
  </si>
  <si>
    <t>Balance Sheet</t>
  </si>
  <si>
    <t>Current Assets</t>
  </si>
  <si>
    <t xml:space="preserve">   Cash</t>
  </si>
  <si>
    <t xml:space="preserve">   Recievables</t>
  </si>
  <si>
    <t>Total Assets</t>
  </si>
  <si>
    <t>Property Plant &amp; Equip</t>
  </si>
  <si>
    <t>Total Property Plant &amp; Equip.</t>
  </si>
  <si>
    <t>Current Liabilities</t>
  </si>
  <si>
    <t xml:space="preserve">   Tax payable</t>
  </si>
  <si>
    <t>Total Liabilities</t>
  </si>
  <si>
    <t>Equity</t>
  </si>
  <si>
    <t>Total Liability and Equity</t>
  </si>
  <si>
    <t>Total  current Assets</t>
  </si>
  <si>
    <t>Interest</t>
  </si>
  <si>
    <t xml:space="preserve">   current portion of loan repayble</t>
  </si>
  <si>
    <t>Long term Liabilities</t>
  </si>
  <si>
    <t xml:space="preserve">   Long term portion of loan repayable</t>
  </si>
  <si>
    <t xml:space="preserve">   Less Owner Draws</t>
  </si>
  <si>
    <t xml:space="preserve">     Owner Draw</t>
  </si>
  <si>
    <t xml:space="preserve">     Loan principal repaid</t>
  </si>
  <si>
    <t xml:space="preserve">     Capital Purchases (radio)</t>
  </si>
  <si>
    <t xml:space="preserve">   Retained Earnings</t>
  </si>
  <si>
    <t>Total Equity</t>
  </si>
  <si>
    <t>Jan</t>
  </si>
  <si>
    <t>Feb</t>
  </si>
  <si>
    <t>Mar</t>
  </si>
  <si>
    <t>May</t>
  </si>
  <si>
    <t>Aug</t>
  </si>
  <si>
    <t>Oct</t>
  </si>
  <si>
    <t>Nov</t>
  </si>
  <si>
    <t>Dec</t>
  </si>
  <si>
    <t>Depreciation</t>
  </si>
  <si>
    <t xml:space="preserve">  Loan Interest and Payment Schedule</t>
  </si>
  <si>
    <t>Loan Amount</t>
  </si>
  <si>
    <t>Interest Rate/Year</t>
  </si>
  <si>
    <t>Term (in months)</t>
  </si>
  <si>
    <t>Monthly payment</t>
  </si>
  <si>
    <t>Monthly</t>
  </si>
  <si>
    <t>Principal</t>
  </si>
  <si>
    <t xml:space="preserve">   Owner Investment</t>
  </si>
  <si>
    <t>Ratios</t>
  </si>
  <si>
    <t xml:space="preserve">  Quick</t>
  </si>
  <si>
    <t xml:space="preserve">  Debt-to-worth</t>
  </si>
  <si>
    <t>Income Statement</t>
  </si>
  <si>
    <t xml:space="preserve">   Gross Margin</t>
  </si>
  <si>
    <t xml:space="preserve">   Net Margin</t>
  </si>
  <si>
    <t xml:space="preserve">   Sales-to-Assets</t>
  </si>
  <si>
    <t xml:space="preserve">   Return on Assets</t>
  </si>
  <si>
    <t xml:space="preserve">   Return on Investment</t>
  </si>
  <si>
    <t>Efficiency Ratios</t>
  </si>
  <si>
    <t xml:space="preserve">   Inventory turnover</t>
  </si>
  <si>
    <t>Net Profit (pre-tax)</t>
  </si>
  <si>
    <t>Ending Cash Position</t>
  </si>
  <si>
    <t>Working Capital</t>
  </si>
  <si>
    <t>Owner Draws</t>
  </si>
  <si>
    <t xml:space="preserve">Wages </t>
  </si>
  <si>
    <t xml:space="preserve">     Cost of Goods Sold</t>
  </si>
  <si>
    <t>vehicle insurance</t>
  </si>
  <si>
    <t>vehicle registration</t>
  </si>
  <si>
    <t>bookkeeper</t>
  </si>
  <si>
    <t xml:space="preserve">     Loan (DCBDC)</t>
  </si>
  <si>
    <t>interest</t>
  </si>
  <si>
    <t>vehicle repairs</t>
  </si>
  <si>
    <t>office expense</t>
  </si>
  <si>
    <t>General business liability insurance</t>
  </si>
  <si>
    <t xml:space="preserve">     Contribution</t>
  </si>
  <si>
    <t>marketing</t>
  </si>
  <si>
    <t>Dec. 31, 2018 to 2020</t>
  </si>
  <si>
    <t xml:space="preserve">      Less accumulated depreciation</t>
  </si>
  <si>
    <t xml:space="preserve">  deferred contribution</t>
  </si>
  <si>
    <t>small tools expense</t>
  </si>
  <si>
    <t xml:space="preserve">    Asset 1</t>
  </si>
  <si>
    <t xml:space="preserve">    Asset 2</t>
  </si>
  <si>
    <t xml:space="preserve">           Asset 2</t>
  </si>
  <si>
    <t>Asset 1</t>
  </si>
  <si>
    <t xml:space="preserve">        asset purchases (auto fills)</t>
  </si>
  <si>
    <t>Asset 2</t>
  </si>
  <si>
    <t xml:space="preserve">     Collections (sales)</t>
  </si>
  <si>
    <t xml:space="preserve">  Current </t>
  </si>
  <si>
    <t xml:space="preserve">           Asset 1 (Type name in right)</t>
  </si>
  <si>
    <t>Contribution (SEED, BDPF)</t>
  </si>
  <si>
    <t>Starting Year</t>
  </si>
  <si>
    <t>Total Current Liabilities</t>
  </si>
  <si>
    <t>First Year rule for depreciation</t>
  </si>
  <si>
    <t>Contribution (claimed at same rate as asset expensed)</t>
  </si>
  <si>
    <t>Name of Business</t>
  </si>
  <si>
    <t>XXX</t>
  </si>
  <si>
    <t xml:space="preserve">   Inventory</t>
  </si>
  <si>
    <t xml:space="preserve">     Inventory</t>
  </si>
  <si>
    <t>COGS</t>
  </si>
  <si>
    <t>Start Up</t>
  </si>
  <si>
    <t>Total Outflow</t>
  </si>
  <si>
    <t>Total Inflow</t>
  </si>
  <si>
    <t>Cash Ouflows</t>
  </si>
  <si>
    <t>Contributions</t>
  </si>
  <si>
    <t>Cash Receipts (sales)</t>
  </si>
  <si>
    <t>bus licence / registrations</t>
  </si>
  <si>
    <t>Sep</t>
  </si>
  <si>
    <t>Ending Cash</t>
  </si>
  <si>
    <t>% of sales collected immediately (vs. 30/60/90 days)</t>
  </si>
  <si>
    <t xml:space="preserve">Loan </t>
  </si>
  <si>
    <t>bad debt expense</t>
  </si>
  <si>
    <t>Bad debt</t>
  </si>
  <si>
    <t>pay within month</t>
  </si>
  <si>
    <t>% of sales collected within 30 days</t>
  </si>
  <si>
    <t>Total cash receipts</t>
  </si>
  <si>
    <t>Total available to collect</t>
  </si>
  <si>
    <t>bad debt</t>
  </si>
  <si>
    <t>Gross Sales</t>
  </si>
  <si>
    <t>Inventory</t>
  </si>
  <si>
    <t>Inventory (select % of COGS after year one)</t>
  </si>
  <si>
    <t>Year 1</t>
  </si>
  <si>
    <t>Apr</t>
  </si>
  <si>
    <t>Jun</t>
  </si>
  <si>
    <t>Jul</t>
  </si>
  <si>
    <t xml:space="preserve">Revenue Year 2 </t>
  </si>
  <si>
    <t>Revenue Year 1 (dec 31, end)</t>
  </si>
  <si>
    <t>pay within 30 days A/R</t>
  </si>
  <si>
    <t>Revenue % increase (annual) after Year 2</t>
  </si>
  <si>
    <t>Year 2</t>
  </si>
  <si>
    <t>Year 3</t>
  </si>
  <si>
    <t>End</t>
  </si>
  <si>
    <t>Year 4</t>
  </si>
  <si>
    <t>Startup Inventory</t>
  </si>
  <si>
    <t>Working Capital Required</t>
  </si>
  <si>
    <t>pay within 60 days</t>
  </si>
  <si>
    <t>% of sales collected within 60 days</t>
  </si>
  <si>
    <t>% of sales collected within 90 days</t>
  </si>
  <si>
    <t>pay within 90 days</t>
  </si>
  <si>
    <t>CASH FLOW</t>
  </si>
  <si>
    <t>Asset 3</t>
  </si>
  <si>
    <t xml:space="preserve">    Asset 3</t>
  </si>
  <si>
    <t xml:space="preserve">           Asset 3</t>
  </si>
  <si>
    <t>Investing Activities</t>
  </si>
  <si>
    <t>Financing Activities</t>
  </si>
  <si>
    <t>Owner Draw</t>
  </si>
  <si>
    <t>Wages (% of revenue)</t>
  </si>
  <si>
    <t>COGS (%) of sales</t>
  </si>
  <si>
    <t>ie: Janitorial Equipment</t>
  </si>
  <si>
    <t>i.e: Vehicle</t>
  </si>
  <si>
    <t>i.e.: XXX</t>
  </si>
  <si>
    <t xml:space="preserve">purchased </t>
  </si>
  <si>
    <t>with contribution</t>
  </si>
  <si>
    <t>owner equity</t>
  </si>
  <si>
    <t xml:space="preserve">   XXX</t>
  </si>
  <si>
    <t>Operating Activities</t>
  </si>
  <si>
    <t xml:space="preserve">   Start Up Loan (in which month pmts start)</t>
  </si>
  <si>
    <t xml:space="preserve">   Loan Term (# of months)</t>
  </si>
  <si>
    <t>balance</t>
  </si>
  <si>
    <t>pmt.</t>
  </si>
  <si>
    <t xml:space="preserve">Loan Principal </t>
  </si>
  <si>
    <t>Net for month</t>
  </si>
  <si>
    <t>Start up Cash (Equity)</t>
  </si>
  <si>
    <t>Blank</t>
  </si>
  <si>
    <t>Depreciation Rate</t>
  </si>
  <si>
    <t>beginning cash balance</t>
  </si>
  <si>
    <t>Emergency W/C available if needed</t>
  </si>
  <si>
    <t>from cash flow chart (below)</t>
  </si>
  <si>
    <t>Data Inputs</t>
  </si>
  <si>
    <t>year 2</t>
  </si>
  <si>
    <t>year 3</t>
  </si>
  <si>
    <t>year 4</t>
  </si>
  <si>
    <t>Income tax rate</t>
  </si>
  <si>
    <t>Month 1</t>
  </si>
  <si>
    <t>Month 2</t>
  </si>
  <si>
    <t>Month 3</t>
  </si>
  <si>
    <t>Month 4</t>
  </si>
  <si>
    <t>Month 5</t>
  </si>
  <si>
    <t>Month 6</t>
  </si>
  <si>
    <t>Month 7</t>
  </si>
  <si>
    <t>Month 8</t>
  </si>
  <si>
    <t>Month 9</t>
  </si>
  <si>
    <t>Month 10</t>
  </si>
  <si>
    <t>Month 11</t>
  </si>
  <si>
    <t>Month 12</t>
  </si>
  <si>
    <t xml:space="preserve">WSCC </t>
  </si>
  <si>
    <t>Fill in Green cells (all others are locked)</t>
  </si>
  <si>
    <t>Period Ending Dec. 31,</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</si>
  <si>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</si>
  <si>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</si>
  <si>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</si>
  <si>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</si>
  <si>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</si>
  <si>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</si>
  <si>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</si>
  <si>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</si>
  <si>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</si>
  <si>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</si>
  <si>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</si>
  <si>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</si>
  <si>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</si>
  <si>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</si>
  <si>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</si>
  <si>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</si>
  <si>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</si>
  <si>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</si>
  <si>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</si>
  <si>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</si>
  <si>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</si>
  <si>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</si>
  <si>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</si>
  <si>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</si>
  <si>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</si>
  <si>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</si>
  <si>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</si>
  <si>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</si>
  <si>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</si>
  <si>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</si>
  <si>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</si>
  <si>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</si>
  <si>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</si>
  <si>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</si>
  <si>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</si>
  <si>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</si>
  <si>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</si>
  <si>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</si>
  <si>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</si>
  <si>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</si>
  <si>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</si>
  <si>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</si>
  <si>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</si>
  <si>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</si>
  <si>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</si>
  <si>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</si>
  <si>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</si>
  <si>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</si>
  <si>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 xml:space="preserve">        $ amount to be used for expenses</t>
  </si>
  <si>
    <t>vehicle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</si>
</sst>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8" formatCode="&quot;$&quot;#,##0.00;[Red]\-&quot;$&quot;#,##0.00"/>
    <numFmt numFmtId="43" formatCode="_-* #,##0.00_-;\-* #,##0.00_-;_-* &quot;-&quot;??_-;_-@_-"/>
    <numFmt numFmtId="164" formatCode="&quot;$&quot;#,##0.00_);\(&quot;$&quot;#,##0.00\)"/>
    <numFmt numFmtId="165" formatCode="_(&quot;$&quot;* #,##0.00_);_(&quot;$&quot;* \(#,##0.00\);_(&quot;$&quot;* &quot;-&quot;??_);_(@_)"/>
    <numFmt numFmtId="166" formatCode="_(* #,##0.00_);_(* \(#,##0.00\);_(* &quot;-&quot;??_);_(@_)"/>
    <numFmt numFmtId="167" formatCode="&quot;$&quot;#,##0.00"/>
    <numFmt numFmtId="168" formatCode="&quot;$&quot;#,##0"/>
    <numFmt numFmtId="169" formatCode="_(* #,##0_);_(* \(#,##0\);_(* &quot;-&quot;??_);_(@_)"/>
    <numFmt numFmtId="170" formatCode="&quot;$&quot;#,##0.0000"/>
    <numFmt numFmtId="171" formatCode="0_);\(0\)"/>
    <numFmt numFmtId="172" formatCode="_(* #,##0.0_);_(* \(#,##0.0\);_(* &quot;-&quot;??_);_(@_)"/>
    <numFmt numFmtId="173" formatCode="_-* #,##0_-;\-* #,##0_-;_-* &quot;-&quot;?_-;_-@_-"/>
  </numFmts>
  <fonts count="23" x14ac:knownFonts="1">
    <font>
      <sz val="10"/>
      <name val="Arial"/>
    </font>
    <font>
      <sz val="10"/>
      <name val="Arial"/>
      <family val="2"/>
    </font>
    <font>
      <b/>
      <sz val="10"/>
      <name val="Arial"/>
      <family val="2"/>
    </font>
    <font>
      <sz val="8"/>
      <name val="Arial"/>
      <family val="2"/>
    </font>
    <font>
      <sz val="8"/>
      <name val="Arial"/>
      <family val="2"/>
    </font>
    <font>
      <b/>
      <sz val="8"/>
      <name val="Arial"/>
      <family val="2"/>
    </font>
    <font>
      <sz val="8"/>
      <name val="Times New Roman"/>
      <family val="1"/>
    </font>
    <font>
      <b/>
      <sz val="8"/>
      <name val="Times New Roman"/>
      <family val="1"/>
    </font>
    <font>
      <sz val="12"/>
      <name val="Times New Roman"/>
      <family val="1"/>
    </font>
    <font>
      <sz val="10"/>
      <name val="Times New Roman"/>
      <family val="1"/>
    </font>
    <font>
      <b/>
      <sz val="8"/>
      <name val="Arial"/>
      <family val="2"/>
    </font>
    <font>
      <sz val="10"/>
      <name val="Arial"/>
      <family val="2"/>
    </font>
    <font>
      <sz val="12"/>
      <name val="Arial"/>
      <family val="2"/>
    </font>
    <font>
      <b/>
      <sz val="12"/>
      <name val="Arial"/>
      <family val="2"/>
    </font>
    <font>
      <sz val="9"/>
      <color indexed="81"/>
      <name val="Tahoma"/>
      <family val="2"/>
    </font>
    <font>
      <b/>
      <sz val="9"/>
      <color indexed="81"/>
      <name val="Tahoma"/>
      <family val="2"/>
    </font>
    <font>
      <sz val="10"/>
      <name val="Arial"/>
      <family val="2"/>
    </font>
    <font>
      <b/>
      <sz val="10"/>
      <color rgb="FF0070C0"/>
      <name val="Arial"/>
      <family val="2"/>
    </font>
    <font>
      <sz val="10"/>
      <color rgb="FF7030A0"/>
      <name val="Arial"/>
      <family val="2"/>
    </font>
    <font>
      <b/>
      <sz val="10"/>
      <color rgb="FF7030A0"/>
      <name val="Arial"/>
      <family val="2"/>
    </font>
    <font>
      <sz val="12"/>
      <color theme="0"/>
      <name val="Arial"/>
      <family val="2"/>
    </font>
    <font>
      <b/>
      <sz val="12"/>
      <color theme="0"/>
      <name val="Arial"/>
      <family val="2"/>
    </font>
    <font>
      <b/>
      <sz val="10"/>
      <color theme="0"/>
      <name val="Arial"/>
      <family val="2"/>
    </font>
  </fonts>
  <fills count="1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2"/>
        <bgColor indexed="38"/>
      </patternFill>
    </fill>
    <fill>
      <patternFill patternType="solid">
        <fgColor indexed="1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000"/>
        <bgColor indexed="38"/>
      </patternFill>
    </fill>
    <fill>
      <patternFill patternType="solid">
        <fgColor rgb="FFCCFFCC"/>
        <bgColor indexed="64"/>
      </patternFill>
    </fill>
    <fill>
      <patternFill patternType="solid">
        <fgColor rgb="FF92D05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5" fillId="0" borderId="2" xfId="0" applyFont="1" applyBorder="1"/>
    <xf numFmtId="0" fontId="3" fillId="0" borderId="3" xfId="0" applyFont="1" applyBorder="1"/>
    <xf numFmtId="0" fontId="3"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3" fillId="0" borderId="6" xfId="0" applyFont="1" applyBorder="1"/>
    <xf numFmtId="0" fontId="3" fillId="0" borderId="2" xfId="0" applyFont="1" applyBorder="1"/>
    <xf numFmtId="0" fontId="3" fillId="0" borderId="7" xfId="0" applyFont="1" applyBorder="1"/>
    <xf numFmtId="0" fontId="3" fillId="0" borderId="4" xfId="0" applyFont="1" applyBorder="1"/>
    <xf numFmtId="3" fontId="3" fillId="0" borderId="0" xfId="0" applyNumberFormat="1" applyFont="1" applyBorder="1"/>
    <xf numFmtId="0" fontId="3" fillId="0" borderId="0" xfId="0" applyFont="1" applyBorder="1"/>
    <xf numFmtId="3" fontId="5" fillId="0" borderId="0" xfId="0" applyNumberFormat="1"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167" fontId="3" fillId="0" borderId="4" xfId="0" applyNumberFormat="1" applyFont="1" applyBorder="1"/>
    <xf numFmtId="167" fontId="3" fillId="0" borderId="0" xfId="0" applyNumberFormat="1" applyFont="1" applyBorder="1"/>
    <xf numFmtId="167" fontId="3" fillId="0" borderId="13" xfId="0" applyNumberFormat="1" applyFont="1" applyBorder="1"/>
    <xf numFmtId="168" fontId="3" fillId="0" borderId="0" xfId="0" applyNumberFormat="1" applyFont="1" applyFill="1" applyBorder="1"/>
    <xf numFmtId="168" fontId="5" fillId="0" borderId="0" xfId="0" applyNumberFormat="1" applyFont="1" applyBorder="1"/>
    <xf numFmtId="3" fontId="3" fillId="0" borderId="0" xfId="0" applyNumberFormat="1" applyFont="1" applyFill="1" applyBorder="1"/>
    <xf numFmtId="167" fontId="0" fillId="0" borderId="0" xfId="0" applyNumberFormat="1"/>
    <xf numFmtId="0" fontId="5" fillId="0" borderId="0" xfId="0" applyFont="1" applyBorder="1"/>
    <xf numFmtId="167" fontId="5" fillId="0" borderId="0" xfId="0" applyNumberFormat="1" applyFont="1" applyBorder="1"/>
    <xf numFmtId="168" fontId="3" fillId="0" borderId="0" xfId="0" applyNumberFormat="1" applyFont="1" applyBorder="1"/>
    <xf numFmtId="3" fontId="5" fillId="0" borderId="0" xfId="0" applyNumberFormat="1" applyFont="1" applyBorder="1"/>
    <xf numFmtId="168" fontId="3" fillId="0" borderId="0" xfId="0" applyNumberFormat="1" applyFont="1" applyBorder="1" applyAlignment="1">
      <alignment horizontal="center"/>
    </xf>
    <xf numFmtId="3" fontId="3" fillId="0" borderId="0" xfId="0" applyNumberFormat="1" applyFont="1" applyBorder="1" applyAlignment="1">
      <alignment horizontal="center"/>
    </xf>
    <xf numFmtId="9" fontId="3" fillId="0" borderId="0" xfId="0" applyNumberFormat="1" applyFont="1" applyBorder="1" applyAlignment="1">
      <alignment horizontal="center"/>
    </xf>
    <xf numFmtId="0" fontId="3" fillId="0" borderId="9" xfId="0" applyFont="1" applyBorder="1"/>
    <xf numFmtId="164" fontId="6" fillId="0" borderId="0" xfId="0" applyNumberFormat="1" applyFont="1" applyBorder="1"/>
    <xf numFmtId="37" fontId="6" fillId="0" borderId="0" xfId="1" applyNumberFormat="1" applyFont="1" applyBorder="1"/>
    <xf numFmtId="0" fontId="6" fillId="0" borderId="0" xfId="0" applyFont="1" applyBorder="1"/>
    <xf numFmtId="4" fontId="6" fillId="0" borderId="0" xfId="0" applyNumberFormat="1" applyFont="1" applyBorder="1"/>
    <xf numFmtId="37" fontId="6" fillId="0" borderId="0" xfId="0" applyNumberFormat="1" applyFont="1" applyBorder="1"/>
    <xf numFmtId="2" fontId="6" fillId="0" borderId="0" xfId="0" applyNumberFormat="1" applyFont="1" applyBorder="1"/>
    <xf numFmtId="171" fontId="6" fillId="0" borderId="0" xfId="0" applyNumberFormat="1" applyFont="1" applyBorder="1" applyAlignment="1">
      <alignment horizontal="center"/>
    </xf>
    <xf numFmtId="0" fontId="4" fillId="0" borderId="0" xfId="0" applyFont="1"/>
    <xf numFmtId="169" fontId="6" fillId="0" borderId="0" xfId="1" applyNumberFormat="1" applyFont="1" applyBorder="1"/>
    <xf numFmtId="0" fontId="4" fillId="0" borderId="0" xfId="0" applyFont="1" applyBorder="1"/>
    <xf numFmtId="0" fontId="7" fillId="0" borderId="0" xfId="0" applyFont="1" applyBorder="1"/>
    <xf numFmtId="169" fontId="7" fillId="0" borderId="0" xfId="1" applyNumberFormat="1" applyFont="1" applyBorder="1"/>
    <xf numFmtId="0" fontId="3" fillId="0" borderId="5" xfId="0" applyFont="1" applyBorder="1"/>
    <xf numFmtId="168" fontId="0" fillId="0" borderId="0" xfId="0" applyNumberFormat="1"/>
    <xf numFmtId="9" fontId="3" fillId="0" borderId="9" xfId="0" applyNumberFormat="1" applyFont="1" applyBorder="1"/>
    <xf numFmtId="8" fontId="3" fillId="0" borderId="4" xfId="0" applyNumberFormat="1" applyFont="1" applyBorder="1"/>
    <xf numFmtId="0" fontId="3" fillId="0" borderId="10" xfId="0" applyFont="1" applyBorder="1" applyAlignment="1">
      <alignment horizontal="center"/>
    </xf>
    <xf numFmtId="0" fontId="3" fillId="0" borderId="6" xfId="0" applyFont="1" applyBorder="1" applyAlignment="1">
      <alignment horizontal="center"/>
    </xf>
    <xf numFmtId="167" fontId="3" fillId="0" borderId="15" xfId="0" applyNumberFormat="1" applyFont="1" applyBorder="1"/>
    <xf numFmtId="0" fontId="3" fillId="0" borderId="9" xfId="0" applyFont="1" applyBorder="1" applyAlignment="1">
      <alignment horizontal="center"/>
    </xf>
    <xf numFmtId="2" fontId="0" fillId="0" borderId="0" xfId="0" applyNumberFormat="1"/>
    <xf numFmtId="0" fontId="3" fillId="0" borderId="13" xfId="0" applyFont="1" applyFill="1" applyBorder="1" applyAlignment="1">
      <alignment horizontal="center"/>
    </xf>
    <xf numFmtId="0" fontId="3" fillId="0" borderId="3" xfId="0" applyFont="1" applyFill="1" applyBorder="1" applyAlignment="1">
      <alignment horizontal="center"/>
    </xf>
    <xf numFmtId="0" fontId="5" fillId="0" borderId="12" xfId="0" applyFont="1" applyFill="1" applyBorder="1" applyAlignment="1">
      <alignment horizontal="center"/>
    </xf>
    <xf numFmtId="0" fontId="3" fillId="0" borderId="3" xfId="0" applyFont="1" applyBorder="1" applyAlignment="1">
      <alignment horizontal="center"/>
    </xf>
    <xf numFmtId="0" fontId="3" fillId="0" borderId="12" xfId="0" applyFont="1" applyFill="1" applyBorder="1" applyAlignment="1">
      <alignment horizontal="center"/>
    </xf>
    <xf numFmtId="0" fontId="3" fillId="0" borderId="14" xfId="0" applyFont="1" applyFill="1" applyBorder="1" applyAlignment="1">
      <alignment horizontal="center"/>
    </xf>
    <xf numFmtId="8" fontId="0" fillId="0" borderId="0" xfId="0" applyNumberFormat="1"/>
    <xf numFmtId="0" fontId="11" fillId="0" borderId="0" xfId="0" applyFont="1"/>
    <xf numFmtId="0" fontId="0" fillId="0" borderId="0" xfId="0" applyProtection="1">
      <protection locked="0"/>
    </xf>
    <xf numFmtId="0" fontId="0" fillId="0" borderId="0" xfId="0" applyProtection="1"/>
    <xf numFmtId="0" fontId="2" fillId="0" borderId="0" xfId="0" applyFont="1" applyProtection="1">
      <protection locked="0"/>
    </xf>
    <xf numFmtId="0" fontId="2" fillId="6" borderId="0" xfId="0" applyFont="1" applyFill="1" applyProtection="1">
      <protection locked="0"/>
    </xf>
    <xf numFmtId="0" fontId="17" fillId="6" borderId="0" xfId="0" applyFont="1" applyFill="1" applyProtection="1">
      <protection locked="0"/>
    </xf>
    <xf numFmtId="0" fontId="0" fillId="6" borderId="0" xfId="0" applyFill="1" applyProtection="1">
      <protection locked="0"/>
    </xf>
    <xf numFmtId="0" fontId="11" fillId="6" borderId="0" xfId="0" applyFont="1" applyFill="1" applyProtection="1">
      <protection locked="0"/>
    </xf>
    <xf numFmtId="168" fontId="17" fillId="6" borderId="0" xfId="2" applyNumberFormat="1" applyFont="1" applyFill="1" applyProtection="1">
      <protection locked="0"/>
    </xf>
    <xf numFmtId="9" fontId="17" fillId="6" borderId="0" xfId="3" applyFont="1" applyFill="1" applyProtection="1">
      <protection locked="0"/>
    </xf>
    <xf numFmtId="1" fontId="17" fillId="6" borderId="0" xfId="2" applyNumberFormat="1" applyFont="1" applyFill="1" applyProtection="1">
      <protection locked="0"/>
    </xf>
    <xf numFmtId="9" fontId="17" fillId="6" borderId="0" xfId="0" applyNumberFormat="1" applyFont="1" applyFill="1" applyProtection="1">
      <protection locked="0"/>
    </xf>
    <xf numFmtId="169" fontId="17" fillId="6" borderId="0" xfId="1" applyNumberFormat="1" applyFont="1" applyFill="1" applyProtection="1">
      <protection locked="0"/>
    </xf>
    <xf numFmtId="9" fontId="0" fillId="6" borderId="0" xfId="0" applyNumberFormat="1" applyFill="1" applyProtection="1">
      <protection locked="0"/>
    </xf>
    <xf numFmtId="18" fontId="0" fillId="0" borderId="0" xfId="0" applyNumberFormat="1" applyProtection="1">
      <protection locked="0"/>
    </xf>
    <xf numFmtId="172" fontId="0" fillId="6" borderId="0" xfId="0" applyNumberFormat="1" applyFill="1" applyProtection="1">
      <protection locked="0"/>
    </xf>
    <xf numFmtId="1" fontId="17" fillId="6" borderId="0" xfId="0" applyNumberFormat="1" applyFont="1" applyFill="1" applyProtection="1">
      <protection locked="0"/>
    </xf>
    <xf numFmtId="1" fontId="17" fillId="6" borderId="0" xfId="3" applyNumberFormat="1" applyFont="1" applyFill="1" applyProtection="1">
      <protection locked="0"/>
    </xf>
    <xf numFmtId="1" fontId="0" fillId="0" borderId="0" xfId="0" applyNumberFormat="1" applyProtection="1">
      <protection locked="0"/>
    </xf>
    <xf numFmtId="0" fontId="11" fillId="0" borderId="0" xfId="0" applyFont="1" applyProtection="1">
      <protection locked="0"/>
    </xf>
    <xf numFmtId="0" fontId="0" fillId="0" borderId="0" xfId="0" applyBorder="1" applyProtection="1">
      <protection locked="0"/>
    </xf>
    <xf numFmtId="169" fontId="12" fillId="0" borderId="0" xfId="1" applyNumberFormat="1" applyFont="1" applyProtection="1">
      <protection locked="0"/>
    </xf>
    <xf numFmtId="169" fontId="12" fillId="9" borderId="0" xfId="1" applyNumberFormat="1" applyFont="1" applyFill="1" applyProtection="1">
      <protection locked="0"/>
    </xf>
    <xf numFmtId="0" fontId="2" fillId="0" borderId="0" xfId="0" applyFont="1" applyProtection="1"/>
    <xf numFmtId="0" fontId="2" fillId="5" borderId="1" xfId="0" applyFont="1" applyFill="1" applyBorder="1" applyProtection="1"/>
    <xf numFmtId="0" fontId="2" fillId="10" borderId="1" xfId="0" applyFont="1" applyFill="1" applyBorder="1" applyProtection="1"/>
    <xf numFmtId="3" fontId="0" fillId="0" borderId="0" xfId="0" applyNumberFormat="1" applyProtection="1"/>
    <xf numFmtId="0" fontId="2" fillId="0" borderId="12" xfId="0" applyFont="1" applyBorder="1" applyProtection="1"/>
    <xf numFmtId="1" fontId="0" fillId="0" borderId="0" xfId="0" applyNumberFormat="1" applyProtection="1"/>
    <xf numFmtId="1" fontId="11" fillId="0" borderId="0" xfId="0" applyNumberFormat="1" applyFont="1" applyProtection="1"/>
    <xf numFmtId="0" fontId="11" fillId="0" borderId="0" xfId="0" applyFont="1" applyProtection="1"/>
    <xf numFmtId="3" fontId="0" fillId="0" borderId="1" xfId="0" applyNumberFormat="1" applyBorder="1" applyProtection="1"/>
    <xf numFmtId="3" fontId="0" fillId="0" borderId="0" xfId="0" applyNumberFormat="1" applyBorder="1" applyProtection="1"/>
    <xf numFmtId="0" fontId="2" fillId="0" borderId="0" xfId="0" applyNumberFormat="1" applyFont="1" applyProtection="1"/>
    <xf numFmtId="2" fontId="0" fillId="0" borderId="0" xfId="0" applyNumberFormat="1" applyProtection="1"/>
    <xf numFmtId="2" fontId="0" fillId="0" borderId="0" xfId="0" applyNumberFormat="1" applyAlignment="1" applyProtection="1">
      <alignment horizontal="right"/>
    </xf>
    <xf numFmtId="9" fontId="0" fillId="0" borderId="0" xfId="3" applyFont="1" applyProtection="1"/>
    <xf numFmtId="9" fontId="0" fillId="0" borderId="0" xfId="0" applyNumberFormat="1" applyProtection="1"/>
    <xf numFmtId="9" fontId="0" fillId="0" borderId="0" xfId="0" applyNumberFormat="1" applyAlignment="1" applyProtection="1"/>
    <xf numFmtId="2" fontId="0" fillId="7" borderId="0" xfId="0" applyNumberFormat="1" applyFill="1" applyProtection="1"/>
    <xf numFmtId="173" fontId="0" fillId="7" borderId="0" xfId="0" applyNumberFormat="1" applyFill="1" applyAlignment="1" applyProtection="1">
      <alignment horizontal="left" indent="1"/>
    </xf>
    <xf numFmtId="173" fontId="0" fillId="7" borderId="0" xfId="0" applyNumberFormat="1" applyFill="1" applyProtection="1"/>
    <xf numFmtId="2" fontId="0" fillId="2" borderId="0" xfId="0" applyNumberFormat="1" applyFill="1" applyProtection="1"/>
    <xf numFmtId="3" fontId="0" fillId="2" borderId="0" xfId="0" applyNumberFormat="1" applyFill="1" applyProtection="1"/>
    <xf numFmtId="0" fontId="0" fillId="2" borderId="0" xfId="0" applyFill="1" applyProtection="1"/>
    <xf numFmtId="43" fontId="0" fillId="0" borderId="0" xfId="0" applyNumberFormat="1" applyProtection="1"/>
    <xf numFmtId="1" fontId="0" fillId="0" borderId="1" xfId="0" applyNumberFormat="1" applyBorder="1" applyProtection="1"/>
    <xf numFmtId="0" fontId="0" fillId="0" borderId="1" xfId="0" applyBorder="1" applyProtection="1"/>
    <xf numFmtId="0" fontId="2" fillId="0" borderId="1" xfId="0" applyFont="1" applyBorder="1" applyProtection="1"/>
    <xf numFmtId="0" fontId="2" fillId="2" borderId="12" xfId="0" applyFont="1" applyFill="1" applyBorder="1" applyAlignment="1" applyProtection="1">
      <alignment horizontal="right"/>
    </xf>
    <xf numFmtId="169" fontId="0" fillId="0" borderId="0" xfId="1" applyNumberFormat="1" applyFont="1" applyBorder="1" applyProtection="1"/>
    <xf numFmtId="0" fontId="0" fillId="0" borderId="0" xfId="0" applyBorder="1" applyProtection="1"/>
    <xf numFmtId="3" fontId="0" fillId="3" borderId="17" xfId="0" applyNumberFormat="1" applyFill="1" applyBorder="1" applyProtection="1"/>
    <xf numFmtId="3" fontId="2" fillId="0" borderId="0" xfId="0" applyNumberFormat="1" applyFont="1" applyProtection="1"/>
    <xf numFmtId="3" fontId="2" fillId="4" borderId="17" xfId="0" applyNumberFormat="1" applyFont="1" applyFill="1" applyBorder="1" applyProtection="1"/>
    <xf numFmtId="169" fontId="0" fillId="0" borderId="1" xfId="0" applyNumberFormat="1" applyBorder="1" applyProtection="1"/>
    <xf numFmtId="3" fontId="0" fillId="3" borderId="0" xfId="0" applyNumberFormat="1" applyFill="1" applyProtection="1"/>
    <xf numFmtId="3" fontId="2" fillId="3" borderId="17" xfId="0" applyNumberFormat="1" applyFont="1" applyFill="1" applyBorder="1" applyProtection="1"/>
    <xf numFmtId="0" fontId="13" fillId="0" borderId="1" xfId="0" applyFont="1" applyBorder="1" applyAlignment="1" applyProtection="1">
      <alignment horizontal="right"/>
    </xf>
    <xf numFmtId="169" fontId="12" fillId="0" borderId="0" xfId="1" applyNumberFormat="1" applyFont="1" applyProtection="1"/>
    <xf numFmtId="169" fontId="12" fillId="8" borderId="0" xfId="1" applyNumberFormat="1" applyFont="1" applyFill="1" applyProtection="1"/>
    <xf numFmtId="1" fontId="12" fillId="8" borderId="0" xfId="1" applyNumberFormat="1" applyFont="1" applyFill="1" applyProtection="1"/>
    <xf numFmtId="1" fontId="12" fillId="8" borderId="0" xfId="0" applyNumberFormat="1" applyFont="1" applyFill="1" applyProtection="1"/>
    <xf numFmtId="1" fontId="0" fillId="11" borderId="0" xfId="0" applyNumberFormat="1" applyFill="1" applyProtection="1"/>
    <xf numFmtId="169" fontId="12" fillId="8" borderId="1" xfId="1" applyNumberFormat="1" applyFont="1" applyFill="1" applyBorder="1" applyProtection="1"/>
    <xf numFmtId="3" fontId="0" fillId="12" borderId="0" xfId="0" applyNumberFormat="1" applyFill="1" applyProtection="1"/>
    <xf numFmtId="1" fontId="0" fillId="12" borderId="0" xfId="0" applyNumberFormat="1" applyFill="1" applyProtection="1"/>
    <xf numFmtId="1" fontId="16" fillId="12" borderId="0" xfId="1" applyNumberFormat="1" applyFont="1" applyFill="1" applyAlignment="1" applyProtection="1">
      <alignment horizontal="right"/>
    </xf>
    <xf numFmtId="0" fontId="0" fillId="0" borderId="0" xfId="0" applyFill="1" applyProtection="1"/>
    <xf numFmtId="3" fontId="2" fillId="14" borderId="17" xfId="0" applyNumberFormat="1" applyFont="1" applyFill="1" applyBorder="1" applyProtection="1"/>
    <xf numFmtId="0" fontId="13" fillId="11" borderId="0" xfId="0" applyFont="1" applyFill="1" applyProtection="1"/>
    <xf numFmtId="0" fontId="12" fillId="0" borderId="0" xfId="0" applyFont="1" applyProtection="1"/>
    <xf numFmtId="0" fontId="13" fillId="0" borderId="0" xfId="0" applyFont="1" applyBorder="1" applyAlignment="1" applyProtection="1">
      <alignment horizontal="right"/>
    </xf>
    <xf numFmtId="169" fontId="12" fillId="12" borderId="0" xfId="1" applyNumberFormat="1" applyFont="1" applyFill="1" applyProtection="1"/>
    <xf numFmtId="0" fontId="18" fillId="0" borderId="0" xfId="0" applyFont="1" applyProtection="1">
      <protection locked="0"/>
    </xf>
    <xf numFmtId="0" fontId="18" fillId="6" borderId="0" xfId="0" applyFont="1" applyFill="1" applyProtection="1">
      <protection locked="0"/>
    </xf>
    <xf numFmtId="0" fontId="19" fillId="6" borderId="0" xfId="0" applyFont="1" applyFill="1" applyProtection="1">
      <protection locked="0"/>
    </xf>
    <xf numFmtId="169" fontId="19" fillId="6" borderId="0" xfId="1" applyNumberFormat="1" applyFont="1" applyFill="1" applyProtection="1">
      <protection locked="0"/>
    </xf>
    <xf numFmtId="0" fontId="11" fillId="0" borderId="0" xfId="0" applyFont="1" applyFill="1" applyBorder="1"/>
    <xf numFmtId="2" fontId="11" fillId="0" borderId="0" xfId="0" applyNumberFormat="1" applyFont="1"/>
    <xf numFmtId="1" fontId="17" fillId="6" borderId="0" xfId="3" applyNumberFormat="1" applyFont="1" applyFill="1" applyAlignment="1" applyProtection="1">
      <alignment horizontal="right"/>
      <protection locked="0"/>
    </xf>
    <xf numFmtId="0" fontId="0" fillId="0" borderId="0" xfId="0" applyBorder="1"/>
    <xf numFmtId="2" fontId="3" fillId="0" borderId="0" xfId="0" applyNumberFormat="1" applyFont="1" applyBorder="1"/>
    <xf numFmtId="0" fontId="5" fillId="0" borderId="0" xfId="0" applyFont="1" applyBorder="1" applyAlignment="1">
      <alignment horizontal="center"/>
    </xf>
    <xf numFmtId="10" fontId="3" fillId="0" borderId="0" xfId="0" applyNumberFormat="1" applyFont="1" applyBorder="1"/>
    <xf numFmtId="9" fontId="3" fillId="0" borderId="0" xfId="0" applyNumberFormat="1" applyFont="1" applyBorder="1"/>
    <xf numFmtId="0" fontId="3" fillId="0" borderId="0" xfId="0" applyFont="1" applyBorder="1" applyAlignment="1">
      <alignment horizontal="left"/>
    </xf>
    <xf numFmtId="167" fontId="3" fillId="0" borderId="0" xfId="0" applyNumberFormat="1" applyFont="1" applyFill="1" applyBorder="1"/>
    <xf numFmtId="0" fontId="6" fillId="0" borderId="0" xfId="0" applyFont="1" applyBorder="1" applyAlignment="1">
      <alignment horizontal="center"/>
    </xf>
    <xf numFmtId="3" fontId="6" fillId="0" borderId="0" xfId="0" applyNumberFormat="1" applyFont="1" applyBorder="1"/>
    <xf numFmtId="1" fontId="3" fillId="0" borderId="0" xfId="0" applyNumberFormat="1" applyFont="1" applyBorder="1" applyAlignment="1">
      <alignment horizontal="center"/>
    </xf>
    <xf numFmtId="1" fontId="5" fillId="0" borderId="0" xfId="0" applyNumberFormat="1" applyFont="1" applyBorder="1" applyAlignment="1">
      <alignment horizontal="center"/>
    </xf>
    <xf numFmtId="168" fontId="5" fillId="0" borderId="0" xfId="0" applyNumberFormat="1" applyFont="1" applyBorder="1" applyAlignment="1">
      <alignment horizontal="center"/>
    </xf>
    <xf numFmtId="169" fontId="6" fillId="0" borderId="0" xfId="1" applyNumberFormat="1" applyFont="1" applyBorder="1" applyAlignment="1">
      <alignment horizontal="center"/>
    </xf>
    <xf numFmtId="164" fontId="6" fillId="0" borderId="0" xfId="1" applyNumberFormat="1" applyFont="1" applyBorder="1"/>
    <xf numFmtId="0" fontId="6" fillId="0" borderId="0" xfId="0" applyFont="1" applyBorder="1" applyAlignment="1">
      <alignment horizontal="left" indent="1"/>
    </xf>
    <xf numFmtId="37" fontId="7" fillId="0" borderId="0" xfId="1" applyNumberFormat="1" applyFont="1" applyBorder="1"/>
    <xf numFmtId="37" fontId="7" fillId="0" borderId="0" xfId="0" applyNumberFormat="1" applyFont="1" applyBorder="1"/>
    <xf numFmtId="164" fontId="3" fillId="0" borderId="0" xfId="0" applyNumberFormat="1" applyFont="1" applyBorder="1"/>
    <xf numFmtId="0" fontId="6" fillId="0" borderId="0" xfId="0" applyNumberFormat="1" applyFont="1" applyBorder="1"/>
    <xf numFmtId="4" fontId="3" fillId="0" borderId="0" xfId="0" applyNumberFormat="1" applyFont="1" applyBorder="1"/>
    <xf numFmtId="0" fontId="7" fillId="0" borderId="0" xfId="0" applyFont="1" applyBorder="1" applyAlignment="1">
      <alignment horizontal="center"/>
    </xf>
    <xf numFmtId="0" fontId="6" fillId="0" borderId="0" xfId="0" applyFont="1" applyBorder="1" applyAlignment="1">
      <alignment horizontal="left"/>
    </xf>
    <xf numFmtId="167" fontId="6" fillId="0" borderId="0" xfId="1" applyNumberFormat="1" applyFont="1" applyBorder="1"/>
    <xf numFmtId="167" fontId="4" fillId="0" borderId="0" xfId="0" applyNumberFormat="1" applyFont="1" applyBorder="1"/>
    <xf numFmtId="167" fontId="7" fillId="0" borderId="0" xfId="1" applyNumberFormat="1" applyFont="1" applyBorder="1"/>
    <xf numFmtId="4" fontId="7" fillId="0" borderId="0" xfId="1" applyNumberFormat="1" applyFont="1" applyBorder="1"/>
    <xf numFmtId="167" fontId="4" fillId="0" borderId="0" xfId="0" applyNumberFormat="1" applyFont="1" applyBorder="1" applyAlignment="1">
      <alignment horizontal="right"/>
    </xf>
    <xf numFmtId="167" fontId="6" fillId="0" borderId="0" xfId="1" applyNumberFormat="1" applyFont="1" applyBorder="1" applyAlignment="1">
      <alignment horizontal="right"/>
    </xf>
    <xf numFmtId="169" fontId="4" fillId="0" borderId="0" xfId="1" applyNumberFormat="1" applyFont="1" applyBorder="1"/>
    <xf numFmtId="0" fontId="7" fillId="0" borderId="0" xfId="1" applyNumberFormat="1" applyFont="1" applyBorder="1"/>
    <xf numFmtId="0" fontId="10" fillId="0" borderId="0" xfId="0" applyFont="1" applyBorder="1"/>
    <xf numFmtId="167" fontId="6" fillId="0" borderId="0" xfId="0" applyNumberFormat="1" applyFont="1" applyBorder="1"/>
    <xf numFmtId="167" fontId="7" fillId="0" borderId="0" xfId="0" applyNumberFormat="1" applyFont="1" applyBorder="1"/>
    <xf numFmtId="2" fontId="7" fillId="0" borderId="0" xfId="1" applyNumberFormat="1" applyFont="1" applyBorder="1"/>
    <xf numFmtId="0" fontId="5" fillId="0" borderId="0" xfId="0" applyFont="1" applyBorder="1" applyAlignment="1"/>
    <xf numFmtId="3" fontId="3" fillId="0" borderId="0" xfId="0" applyNumberFormat="1" applyFont="1" applyBorder="1" applyAlignment="1">
      <alignment horizontal="right"/>
    </xf>
    <xf numFmtId="170" fontId="3" fillId="0" borderId="0" xfId="0" applyNumberFormat="1" applyFont="1" applyBorder="1"/>
    <xf numFmtId="167" fontId="5" fillId="0" borderId="0" xfId="0" applyNumberFormat="1" applyFont="1" applyFill="1" applyBorder="1"/>
    <xf numFmtId="3" fontId="5" fillId="0" borderId="0" xfId="0" applyNumberFormat="1" applyFont="1" applyFill="1" applyBorder="1"/>
    <xf numFmtId="167" fontId="0" fillId="0" borderId="0" xfId="0" applyNumberFormat="1" applyBorder="1"/>
    <xf numFmtId="0" fontId="8" fillId="0" borderId="0" xfId="0" applyFont="1" applyBorder="1"/>
    <xf numFmtId="37" fontId="9" fillId="0" borderId="0" xfId="0" applyNumberFormat="1" applyFont="1" applyBorder="1"/>
    <xf numFmtId="0" fontId="5" fillId="0" borderId="14" xfId="0" applyFont="1" applyBorder="1" applyAlignment="1">
      <alignment horizontal="center"/>
    </xf>
    <xf numFmtId="0" fontId="3" fillId="0" borderId="13" xfId="0" applyFont="1" applyBorder="1" applyAlignment="1">
      <alignment horizontal="center"/>
    </xf>
    <xf numFmtId="0" fontId="5" fillId="0" borderId="3" xfId="0" applyFont="1" applyFill="1" applyBorder="1" applyAlignment="1">
      <alignment horizontal="center"/>
    </xf>
    <xf numFmtId="17" fontId="3" fillId="0" borderId="6" xfId="0" applyNumberFormat="1" applyFont="1" applyBorder="1"/>
    <xf numFmtId="15" fontId="3" fillId="0" borderId="0" xfId="0" applyNumberFormat="1" applyFont="1" applyBorder="1"/>
    <xf numFmtId="17" fontId="3" fillId="0" borderId="0" xfId="0" applyNumberFormat="1" applyFont="1" applyBorder="1"/>
    <xf numFmtId="3" fontId="17" fillId="6" borderId="0" xfId="0" applyNumberFormat="1" applyFont="1" applyFill="1" applyProtection="1">
      <protection locked="0"/>
    </xf>
    <xf numFmtId="0" fontId="2" fillId="0" borderId="0" xfId="0" applyFont="1" applyFill="1" applyBorder="1" applyProtection="1"/>
    <xf numFmtId="169" fontId="12" fillId="0" borderId="16" xfId="1" applyNumberFormat="1" applyFont="1" applyBorder="1" applyProtection="1"/>
    <xf numFmtId="169" fontId="12" fillId="0" borderId="5" xfId="1" applyNumberFormat="1" applyFont="1" applyBorder="1" applyProtection="1"/>
    <xf numFmtId="169" fontId="12" fillId="0" borderId="11" xfId="1" applyNumberFormat="1" applyFont="1" applyBorder="1" applyProtection="1"/>
    <xf numFmtId="169" fontId="12" fillId="0" borderId="0" xfId="1" applyNumberFormat="1" applyFont="1" applyBorder="1" applyProtection="1"/>
    <xf numFmtId="169" fontId="12" fillId="0" borderId="1" xfId="1" applyNumberFormat="1" applyFont="1" applyBorder="1" applyProtection="1"/>
    <xf numFmtId="169" fontId="12" fillId="13" borderId="1" xfId="1" applyNumberFormat="1" applyFont="1" applyFill="1" applyBorder="1" applyProtection="1"/>
    <xf numFmtId="169" fontId="12" fillId="13" borderId="0" xfId="1" applyNumberFormat="1" applyFont="1" applyFill="1" applyBorder="1" applyProtection="1"/>
    <xf numFmtId="169" fontId="12" fillId="9" borderId="0" xfId="1" applyNumberFormat="1" applyFont="1" applyFill="1" applyProtection="1"/>
    <xf numFmtId="0" fontId="11" fillId="7" borderId="0" xfId="0" applyFont="1" applyFill="1" applyProtection="1"/>
    <xf numFmtId="0" fontId="11" fillId="2" borderId="0" xfId="0" applyFont="1" applyFill="1" applyProtection="1"/>
    <xf numFmtId="0" fontId="0" fillId="3" borderId="0" xfId="0" applyFill="1" applyProtection="1"/>
    <xf numFmtId="0" fontId="2" fillId="4" borderId="0" xfId="0" applyFont="1" applyFill="1" applyProtection="1"/>
    <xf numFmtId="4" fontId="0" fillId="0" borderId="0" xfId="0" applyNumberFormat="1" applyProtection="1"/>
    <xf numFmtId="169" fontId="0" fillId="0" borderId="0" xfId="0" applyNumberFormat="1" applyProtection="1"/>
    <xf numFmtId="0" fontId="2" fillId="3" borderId="0" xfId="0" applyFont="1" applyFill="1" applyProtection="1"/>
    <xf numFmtId="0" fontId="13" fillId="0" borderId="0" xfId="0" applyFont="1" applyProtection="1"/>
    <xf numFmtId="0" fontId="12" fillId="9" borderId="0" xfId="0" applyFont="1" applyFill="1" applyProtection="1"/>
    <xf numFmtId="0" fontId="13" fillId="9" borderId="0" xfId="0" applyFont="1" applyFill="1" applyProtection="1"/>
    <xf numFmtId="0" fontId="12" fillId="9" borderId="0" xfId="0" applyFont="1" applyFill="1" applyAlignment="1" applyProtection="1">
      <alignment horizontal="left"/>
    </xf>
    <xf numFmtId="0" fontId="13" fillId="0" borderId="0" xfId="0" applyFont="1" applyBorder="1" applyProtection="1"/>
    <xf numFmtId="0" fontId="11" fillId="0" borderId="0" xfId="0" applyFont="1" applyAlignment="1" applyProtection="1">
      <alignment horizontal="center"/>
    </xf>
    <xf numFmtId="1" fontId="0" fillId="15" borderId="0" xfId="0" applyNumberFormat="1" applyFill="1" applyProtection="1">
      <protection locked="0"/>
    </xf>
    <xf numFmtId="1" fontId="0" fillId="15" borderId="0" xfId="1" applyNumberFormat="1" applyFont="1" applyFill="1" applyProtection="1">
      <protection locked="0"/>
    </xf>
    <xf numFmtId="168" fontId="22" fillId="16" borderId="0" xfId="2" applyNumberFormat="1" applyFont="1" applyFill="1" applyProtection="1">
      <protection locked="0"/>
    </xf>
    <xf numFmtId="0" fontId="20" fillId="16" borderId="0" xfId="0" applyFont="1" applyFill="1" applyProtection="1"/>
    <xf numFmtId="0" fontId="21" fillId="16" borderId="0" xfId="0" applyFont="1" applyFill="1" applyProtection="1"/>
    <xf numFmtId="169" fontId="12" fillId="15" borderId="0" xfId="1" applyNumberFormat="1" applyFont="1" applyFill="1" applyProtection="1">
      <protection locked="0"/>
    </xf>
    <xf numFmtId="0" fontId="1" fillId="0" borderId="0" xfId="0" applyFont="1" applyProtection="1">
      <protection locked="0"/>
    </xf>
    <xf numFmtId="0" fontId="1" fillId="0" borderId="0" xfId="0" applyFont="1" applyProtection="1"/>
    <xf numFmtId="0" fontId="1" fillId="6" borderId="0" xfId="0" applyFont="1" applyFill="1" applyProtection="1">
      <protection locked="0"/>
    </xf>
    <xf numFmtId="0" fontId="0" fillId="15" borderId="0" xfId="0" applyFill="1" applyProtection="1">
      <protection locked="0"/>
    </xf>
    <xf numFmtId="0" fontId="2" fillId="0" borderId="0" xfId="0" applyFont="1" applyAlignment="1" applyProtection="1">
      <alignment horizontal="right"/>
    </xf>
    <xf numFmtId="169" fontId="12" fillId="15" borderId="0" xfId="1" applyNumberFormat="1" applyFont="1" applyFill="1" applyProtection="1"/>
  </cellXfs>
  <cellStyles count="4">
    <cellStyle name="Comma" xfId="1" builtinId="3"/>
    <cellStyle name="Currency" xfId="2" builtinId="4"/>
    <cellStyle name="Normal" xfId="0" builtinId="0"/>
    <cellStyle name="Percent" xfId="3" builtinId="5"/>
  </cellStyles>
  <dxfs count="4">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00000000-0011-0000-FFFF-FFFF00000000}">
      <tableStyleElement type="wholeTable" dxfId="3"/>
      <tableStyleElement type="headerRow" dxfId="2"/>
      <tableStyleElement type="totalRow" dxfId="1"/>
      <tableStyleElement type="firstTotalCell" dxfId="0"/>
    </tableStyle>
  </tableStyles>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CA" b="1"/>
              <a:t>Highlights</a:t>
            </a:r>
          </a:p>
        </c:rich>
      </c:tx>
      <c:overlay val="0"/>
      <c:spPr>
        <a:noFill/>
        <a:ln w="25400">
          <a:noFill/>
        </a:ln>
      </c:spPr>
    </c:title>
    <c:autoTitleDeleted val="0"/>
    <c:plotArea>
      <c:layout>
        <c:manualLayout>
          <c:layoutTarget val="inner"/>
          <c:xMode val="edge"/>
          <c:yMode val="edge"/>
          <c:x val="0.18700599337331947"/>
          <c:y val="0.21316612503029506"/>
          <c:w val="0.68893234141202842"/>
          <c:h val="0.72922322681812957"/>
        </c:manualLayout>
      </c:layout>
      <c:barChart>
        <c:barDir val="col"/>
        <c:grouping val="clustered"/>
        <c:varyColors val="0"/>
        <c:ser>
          <c:idx val="0"/>
          <c:order val="0"/>
          <c:tx>
            <c:strRef>
              <c:f>'Financial Projections'!$J$41</c:f>
              <c:strCache>
                <c:ptCount val="1"/>
                <c:pt idx="0">
                  <c:v>Sales w (annual increase)0.03</c:v>
                </c:pt>
              </c:strCache>
            </c:strRef>
          </c:tx>
          <c:spPr>
            <a:solidFill>
              <a:srgbClr val="4F81BD"/>
            </a:solidFill>
            <a:ln w="25400">
              <a:noFill/>
            </a:ln>
          </c:spPr>
          <c:invertIfNegative val="0"/>
          <c:cat>
            <c:numRef>
              <c:f>'Financial Projections'!$M$40:$Q$40</c:f>
              <c:numCache>
                <c:formatCode>General</c:formatCode>
                <c:ptCount val="5"/>
                <c:pt idx="0">
                  <c:v>2022</c:v>
                </c:pt>
                <c:pt idx="1">
                  <c:v>2023</c:v>
                </c:pt>
                <c:pt idx="2">
                  <c:v>2024</c:v>
                </c:pt>
                <c:pt idx="3">
                  <c:v>2025</c:v>
                </c:pt>
                <c:pt idx="4">
                  <c:v>2026</c:v>
                </c:pt>
              </c:numCache>
            </c:numRef>
          </c:cat>
          <c:val>
            <c:numRef>
              <c:f>'Financial Projections'!$M$41:$Q$41</c:f>
              <c:numCache>
                <c:formatCode>0</c:formatCode>
                <c:ptCount val="5"/>
                <c:pt idx="0">
                  <c:v>25000</c:v>
                </c:pt>
                <c:pt idx="1">
                  <c:v>55000</c:v>
                </c:pt>
                <c:pt idx="2">
                  <c:v>56650</c:v>
                </c:pt>
                <c:pt idx="3">
                  <c:v>58349.5</c:v>
                </c:pt>
                <c:pt idx="4">
                  <c:v>60099.985000000001</c:v>
                </c:pt>
              </c:numCache>
            </c:numRef>
          </c:val>
          <c:extLst>
            <c:ext xmlns:c16="http://schemas.microsoft.com/office/drawing/2014/chart" uri="{C3380CC4-5D6E-409C-BE32-E72D297353CC}">
              <c16:uniqueId val="{00000000-0BE2-4757-8E97-AF19F22C2741}"/>
            </c:ext>
          </c:extLst>
        </c:ser>
        <c:ser>
          <c:idx val="1"/>
          <c:order val="1"/>
          <c:tx>
            <c:strRef>
              <c:f>'Financial Projections'!$J$42</c:f>
              <c:strCache>
                <c:ptCount val="1"/>
                <c:pt idx="0">
                  <c:v>Total Operating Expenses</c:v>
                </c:pt>
              </c:strCache>
            </c:strRef>
          </c:tx>
          <c:spPr>
            <a:solidFill>
              <a:srgbClr val="C0504D"/>
            </a:solidFill>
            <a:ln w="25400">
              <a:noFill/>
            </a:ln>
          </c:spPr>
          <c:invertIfNegative val="0"/>
          <c:cat>
            <c:numRef>
              <c:f>'Financial Projections'!$M$40:$Q$40</c:f>
              <c:numCache>
                <c:formatCode>General</c:formatCode>
                <c:ptCount val="5"/>
                <c:pt idx="0">
                  <c:v>2022</c:v>
                </c:pt>
                <c:pt idx="1">
                  <c:v>2023</c:v>
                </c:pt>
                <c:pt idx="2">
                  <c:v>2024</c:v>
                </c:pt>
                <c:pt idx="3">
                  <c:v>2025</c:v>
                </c:pt>
                <c:pt idx="4">
                  <c:v>2026</c:v>
                </c:pt>
              </c:numCache>
            </c:numRef>
          </c:cat>
          <c:val>
            <c:numRef>
              <c:f>'Financial Projections'!$M$42:$Q$42</c:f>
              <c:numCache>
                <c:formatCode>0</c:formatCode>
                <c:ptCount val="5"/>
                <c:pt idx="0">
                  <c:v>32184.820844150072</c:v>
                </c:pt>
                <c:pt idx="1">
                  <c:v>45925.241216314309</c:v>
                </c:pt>
                <c:pt idx="2">
                  <c:v>37002.299499612229</c:v>
                </c:pt>
                <c:pt idx="3">
                  <c:v>30444.953200832661</c:v>
                </c:pt>
                <c:pt idx="4">
                  <c:v>34558.385062895548</c:v>
                </c:pt>
              </c:numCache>
            </c:numRef>
          </c:val>
          <c:extLst>
            <c:ext xmlns:c16="http://schemas.microsoft.com/office/drawing/2014/chart" uri="{C3380CC4-5D6E-409C-BE32-E72D297353CC}">
              <c16:uniqueId val="{00000001-0BE2-4757-8E97-AF19F22C2741}"/>
            </c:ext>
          </c:extLst>
        </c:ser>
        <c:ser>
          <c:idx val="2"/>
          <c:order val="2"/>
          <c:tx>
            <c:strRef>
              <c:f>'Financial Projections'!$J$43</c:f>
              <c:strCache>
                <c:ptCount val="1"/>
                <c:pt idx="0">
                  <c:v>Net Profit after Tax</c:v>
                </c:pt>
              </c:strCache>
            </c:strRef>
          </c:tx>
          <c:spPr>
            <a:solidFill>
              <a:srgbClr val="9BBB59"/>
            </a:solidFill>
          </c:spPr>
          <c:invertIfNegative val="0"/>
          <c:cat>
            <c:numRef>
              <c:f>'Financial Projections'!$M$40:$Q$40</c:f>
              <c:numCache>
                <c:formatCode>General</c:formatCode>
                <c:ptCount val="5"/>
                <c:pt idx="0">
                  <c:v>2022</c:v>
                </c:pt>
                <c:pt idx="1">
                  <c:v>2023</c:v>
                </c:pt>
                <c:pt idx="2">
                  <c:v>2024</c:v>
                </c:pt>
                <c:pt idx="3">
                  <c:v>2025</c:v>
                </c:pt>
                <c:pt idx="4">
                  <c:v>2026</c:v>
                </c:pt>
              </c:numCache>
            </c:numRef>
          </c:cat>
          <c:val>
            <c:numRef>
              <c:f>'Financial Projections'!$M$43:$Q$43</c:f>
              <c:numCache>
                <c:formatCode>#,##0</c:formatCode>
                <c:ptCount val="5"/>
                <c:pt idx="0">
                  <c:v>-2022.9160822453086</c:v>
                </c:pt>
                <c:pt idx="1">
                  <c:v>7329.7020943432872</c:v>
                </c:pt>
                <c:pt idx="2">
                  <c:v>16135.331828520893</c:v>
                </c:pt>
                <c:pt idx="3">
                  <c:v>22040.946892041396</c:v>
                </c:pt>
                <c:pt idx="4">
                  <c:v>19651.804303201876</c:v>
                </c:pt>
              </c:numCache>
            </c:numRef>
          </c:val>
          <c:extLst>
            <c:ext xmlns:c16="http://schemas.microsoft.com/office/drawing/2014/chart" uri="{C3380CC4-5D6E-409C-BE32-E72D297353CC}">
              <c16:uniqueId val="{00000002-0BE2-4757-8E97-AF19F22C2741}"/>
            </c:ext>
          </c:extLst>
        </c:ser>
        <c:dLbls>
          <c:showLegendKey val="0"/>
          <c:showVal val="0"/>
          <c:showCatName val="0"/>
          <c:showSerName val="0"/>
          <c:showPercent val="0"/>
          <c:showBubbleSize val="0"/>
        </c:dLbls>
        <c:gapWidth val="219"/>
        <c:axId val="466413992"/>
        <c:axId val="1"/>
      </c:barChart>
      <c:lineChart>
        <c:grouping val="standard"/>
        <c:varyColors val="0"/>
        <c:ser>
          <c:idx val="3"/>
          <c:order val="3"/>
          <c:tx>
            <c:strRef>
              <c:f>'Financial Projections'!$J$44</c:f>
              <c:strCache>
                <c:ptCount val="1"/>
                <c:pt idx="0">
                  <c:v>Ending Cash</c:v>
                </c:pt>
              </c:strCache>
            </c:strRef>
          </c:tx>
          <c:spPr>
            <a:ln>
              <a:solidFill>
                <a:schemeClr val="tx1"/>
              </a:solidFill>
            </a:ln>
          </c:spPr>
          <c:marker>
            <c:symbol val="none"/>
          </c:marker>
          <c:cat>
            <c:numRef>
              <c:f>'Financial Projections'!$M$40:$Q$40</c:f>
              <c:numCache>
                <c:formatCode>General</c:formatCode>
                <c:ptCount val="5"/>
                <c:pt idx="0">
                  <c:v>2022</c:v>
                </c:pt>
                <c:pt idx="1">
                  <c:v>2023</c:v>
                </c:pt>
                <c:pt idx="2">
                  <c:v>2024</c:v>
                </c:pt>
                <c:pt idx="3">
                  <c:v>2025</c:v>
                </c:pt>
                <c:pt idx="4">
                  <c:v>2026</c:v>
                </c:pt>
              </c:numCache>
            </c:numRef>
          </c:cat>
          <c:val>
            <c:numRef>
              <c:f>'Financial Projections'!$M$44:$Q$44</c:f>
              <c:numCache>
                <c:formatCode>#,##0</c:formatCode>
                <c:ptCount val="5"/>
                <c:pt idx="0">
                  <c:v>50351.773173239031</c:v>
                </c:pt>
                <c:pt idx="1">
                  <c:v>63943.546346478048</c:v>
                </c:pt>
                <c:pt idx="2">
                  <c:v>62891.969519717059</c:v>
                </c:pt>
                <c:pt idx="3">
                  <c:v>62116.239554994863</c:v>
                </c:pt>
                <c:pt idx="4">
                  <c:v>56902.219733070975</c:v>
                </c:pt>
              </c:numCache>
            </c:numRef>
          </c:val>
          <c:smooth val="0"/>
          <c:extLst>
            <c:ext xmlns:c16="http://schemas.microsoft.com/office/drawing/2014/chart" uri="{C3380CC4-5D6E-409C-BE32-E72D297353CC}">
              <c16:uniqueId val="{00000001-AC7E-46D2-9668-3BDE310D26C0}"/>
            </c:ext>
          </c:extLst>
        </c:ser>
        <c:dLbls>
          <c:showLegendKey val="0"/>
          <c:showVal val="0"/>
          <c:showCatName val="0"/>
          <c:showSerName val="0"/>
          <c:showPercent val="0"/>
          <c:showBubbleSize val="0"/>
        </c:dLbls>
        <c:marker val="1"/>
        <c:smooth val="0"/>
        <c:axId val="466413992"/>
        <c:axId val="1"/>
      </c:lineChart>
      <c:catAx>
        <c:axId val="46641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2540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a:t>
                </a:r>
              </a:p>
            </c:rich>
          </c:tx>
          <c:overlay val="0"/>
          <c:spPr>
            <a:noFill/>
            <a:ln w="25400">
              <a:noFill/>
            </a:ln>
          </c:spPr>
        </c:title>
        <c:numFmt formatCode="0" sourceLinked="1"/>
        <c:majorTickMark val="none"/>
        <c:minorTickMark val="none"/>
        <c:tickLblPos val="nextTo"/>
        <c:spPr>
          <a:ln w="9525">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66413992"/>
        <c:crosses val="autoZero"/>
        <c:crossBetween val="between"/>
      </c:valAx>
      <c:spPr>
        <a:noFill/>
        <a:ln w="25400">
          <a:noFill/>
        </a:ln>
      </c:spPr>
    </c:plotArea>
    <c:legend>
      <c:legendPos val="b"/>
      <c:layout>
        <c:manualLayout>
          <c:xMode val="edge"/>
          <c:yMode val="edge"/>
          <c:x val="0.14736999565290365"/>
          <c:y val="6.2802085522650403E-2"/>
          <c:w val="0.74724417437642843"/>
          <c:h val="8.1586788042136607E-2"/>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365759</xdr:colOff>
      <xdr:row>0</xdr:row>
      <xdr:rowOff>16585</xdr:rowOff>
    </xdr:from>
    <xdr:to>
      <xdr:col>14</xdr:col>
      <xdr:colOff>699247</xdr:colOff>
      <xdr:row>36</xdr:row>
      <xdr:rowOff>98612</xdr:rowOff>
    </xdr:to>
    <xdr:graphicFrame macro="">
      <xdr:nvGraphicFramePr>
        <xdr:cNvPr id="1585" name="Chart 2">
          <a:extLst>
            <a:ext uri="{FF2B5EF4-FFF2-40B4-BE49-F238E27FC236}">
              <a16:creationId xmlns:a16="http://schemas.microsoft.com/office/drawing/2014/main" id="{6EB0095C-B1EC-0B3E-21F6-AA57D5EBA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788894</xdr:colOff>
      <xdr:row>0</xdr:row>
      <xdr:rowOff>0</xdr:rowOff>
    </xdr:from>
    <xdr:to>
      <xdr:col>18</xdr:col>
      <xdr:colOff>292036</xdr:colOff>
      <xdr:row>11</xdr:row>
      <xdr:rowOff>44822</xdr:rowOff>
    </xdr:to>
    <xdr:pic>
      <xdr:nvPicPr>
        <xdr:cNvPr id="3" name="Picture 2">
          <a:extLst>
            <a:ext uri="{FF2B5EF4-FFF2-40B4-BE49-F238E27FC236}">
              <a16:creationId xmlns:a16="http://schemas.microsoft.com/office/drawing/2014/main" id="{0D3CE139-CA87-2211-12C6-54FE87A404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32423" y="0"/>
          <a:ext cx="3017307" cy="19184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T222"/>
  <sheetViews>
    <sheetView showGridLines="0" tabSelected="1" topLeftCell="A21" zoomScale="85" zoomScaleNormal="85" workbookViewId="0">
      <selection activeCell="B44" sqref="B44"/>
    </sheetView>
  </sheetViews>
  <sheetFormatPr defaultRowHeight="13.2" x14ac:dyDescent="0.25"/>
  <cols>
    <col min="1" max="1" width="15" style="59" customWidth="1"/>
    <col min="2" max="2" width="31.6640625" style="59" customWidth="1"/>
    <col min="3" max="3" width="23.44140625" style="59" customWidth="1"/>
    <col min="4" max="4" width="13.77734375" style="59" bestFit="1" customWidth="1"/>
    <col min="5" max="5" width="11.6640625" style="59" customWidth="1"/>
    <col min="6" max="28" width="12.77734375" style="59" customWidth="1"/>
    <col min="29" max="63" width="11.88671875" style="59" bestFit="1" customWidth="1"/>
    <col min="64" max="16384" width="8.88671875" style="59"/>
  </cols>
  <sheetData>
    <row r="1" spans="1:4" x14ac:dyDescent="0.25">
      <c r="B1" s="61" t="s">
        <v>173</v>
      </c>
      <c r="C1" s="61"/>
    </row>
    <row r="2" spans="1:4" x14ac:dyDescent="0.25">
      <c r="B2" s="62" t="s">
        <v>100</v>
      </c>
      <c r="C2" s="63" t="s">
        <v>101</v>
      </c>
      <c r="D2" s="64"/>
    </row>
    <row r="3" spans="1:4" x14ac:dyDescent="0.25">
      <c r="B3" s="64" t="s">
        <v>96</v>
      </c>
      <c r="C3" s="64"/>
      <c r="D3" s="63">
        <v>2022</v>
      </c>
    </row>
    <row r="4" spans="1:4" x14ac:dyDescent="0.25">
      <c r="B4" s="65" t="s">
        <v>131</v>
      </c>
      <c r="C4" s="65" t="s">
        <v>172</v>
      </c>
      <c r="D4" s="212">
        <f>SUM(sales_year1)</f>
        <v>25000</v>
      </c>
    </row>
    <row r="5" spans="1:4" x14ac:dyDescent="0.25">
      <c r="B5" s="65" t="s">
        <v>130</v>
      </c>
      <c r="C5" s="65"/>
      <c r="D5" s="66">
        <v>55000</v>
      </c>
    </row>
    <row r="6" spans="1:4" x14ac:dyDescent="0.25">
      <c r="B6" s="65" t="s">
        <v>133</v>
      </c>
      <c r="C6" s="65"/>
      <c r="D6" s="67">
        <v>0.03</v>
      </c>
    </row>
    <row r="7" spans="1:4" x14ac:dyDescent="0.25">
      <c r="B7" s="65"/>
      <c r="C7" s="65"/>
      <c r="D7" s="68"/>
    </row>
    <row r="8" spans="1:4" x14ac:dyDescent="0.25">
      <c r="B8" s="65" t="s">
        <v>151</v>
      </c>
      <c r="C8" s="65"/>
      <c r="D8" s="67">
        <v>0.1</v>
      </c>
    </row>
    <row r="9" spans="1:4" x14ac:dyDescent="0.25">
      <c r="B9" s="218" t="s">
        <v>190</v>
      </c>
      <c r="C9" s="65"/>
      <c r="D9" s="67">
        <v>0.04</v>
      </c>
    </row>
    <row r="10" spans="1:4" x14ac:dyDescent="0.25">
      <c r="B10" s="65" t="s">
        <v>95</v>
      </c>
      <c r="C10" s="65"/>
      <c r="D10" s="70">
        <v>26000</v>
      </c>
    </row>
    <row r="11" spans="1:4" x14ac:dyDescent="0.25">
      <c r="B11" s="218" t="s">
        <v>241</v>
      </c>
      <c r="C11" s="65"/>
      <c r="D11" s="187">
        <v>5000</v>
      </c>
    </row>
    <row r="12" spans="1:4" x14ac:dyDescent="0.25">
      <c r="B12" s="65" t="s">
        <v>90</v>
      </c>
      <c r="C12" s="65"/>
      <c r="D12" s="70">
        <f>D13+D14</f>
        <v>21000</v>
      </c>
    </row>
    <row r="13" spans="1:4" x14ac:dyDescent="0.25">
      <c r="A13" s="132" t="s">
        <v>156</v>
      </c>
      <c r="B13" s="133" t="s">
        <v>94</v>
      </c>
      <c r="C13" s="134" t="s">
        <v>153</v>
      </c>
      <c r="D13" s="135">
        <v>20000</v>
      </c>
    </row>
    <row r="14" spans="1:4" x14ac:dyDescent="0.25">
      <c r="A14" s="132" t="s">
        <v>157</v>
      </c>
      <c r="B14" s="133" t="s">
        <v>88</v>
      </c>
      <c r="C14" s="134" t="s">
        <v>154</v>
      </c>
      <c r="D14" s="135">
        <v>1000</v>
      </c>
    </row>
    <row r="15" spans="1:4" x14ac:dyDescent="0.25">
      <c r="A15" s="77" t="s">
        <v>158</v>
      </c>
      <c r="B15" s="65" t="s">
        <v>147</v>
      </c>
      <c r="C15" s="63" t="s">
        <v>155</v>
      </c>
      <c r="D15" s="70">
        <v>100000</v>
      </c>
    </row>
    <row r="16" spans="1:4" x14ac:dyDescent="0.25">
      <c r="B16" s="65" t="s">
        <v>169</v>
      </c>
      <c r="C16" s="65"/>
      <c r="D16" s="71"/>
    </row>
    <row r="17" spans="2:15" x14ac:dyDescent="0.25">
      <c r="B17" s="65" t="s">
        <v>86</v>
      </c>
      <c r="C17" s="65"/>
      <c r="D17" s="69">
        <v>0.2</v>
      </c>
      <c r="O17" s="72"/>
    </row>
    <row r="18" spans="2:15" x14ac:dyDescent="0.25">
      <c r="B18" s="65" t="s">
        <v>87</v>
      </c>
      <c r="C18" s="65"/>
      <c r="D18" s="67">
        <v>0.3</v>
      </c>
    </row>
    <row r="19" spans="2:15" x14ac:dyDescent="0.25">
      <c r="B19" s="65" t="s">
        <v>146</v>
      </c>
      <c r="C19" s="65"/>
      <c r="D19" s="67">
        <v>0.3</v>
      </c>
    </row>
    <row r="20" spans="2:15" x14ac:dyDescent="0.25">
      <c r="B20" s="65" t="s">
        <v>98</v>
      </c>
      <c r="C20" s="65"/>
      <c r="D20" s="73">
        <v>0.5</v>
      </c>
    </row>
    <row r="21" spans="2:15" x14ac:dyDescent="0.25">
      <c r="B21" s="65" t="s">
        <v>138</v>
      </c>
      <c r="C21" s="65"/>
      <c r="D21" s="74">
        <v>1000</v>
      </c>
    </row>
    <row r="22" spans="2:15" x14ac:dyDescent="0.25">
      <c r="B22" s="65" t="s">
        <v>125</v>
      </c>
      <c r="C22" s="65"/>
      <c r="D22" s="69">
        <v>0.25</v>
      </c>
    </row>
    <row r="23" spans="2:15" x14ac:dyDescent="0.25">
      <c r="B23" s="65" t="s">
        <v>177</v>
      </c>
      <c r="C23" s="64"/>
      <c r="D23" s="67">
        <v>0.21</v>
      </c>
    </row>
    <row r="24" spans="2:15" x14ac:dyDescent="0.25">
      <c r="B24" s="65" t="s">
        <v>152</v>
      </c>
      <c r="C24" s="65"/>
      <c r="D24" s="69">
        <v>0.1</v>
      </c>
    </row>
    <row r="25" spans="2:15" x14ac:dyDescent="0.25">
      <c r="B25" s="65" t="s">
        <v>48</v>
      </c>
      <c r="C25" s="65"/>
      <c r="D25" s="75">
        <v>50000</v>
      </c>
    </row>
    <row r="26" spans="2:15" hidden="1" x14ac:dyDescent="0.25">
      <c r="B26" s="65" t="s">
        <v>161</v>
      </c>
      <c r="C26" s="65"/>
      <c r="D26" s="138" t="s">
        <v>45</v>
      </c>
    </row>
    <row r="27" spans="2:15" x14ac:dyDescent="0.25">
      <c r="B27" s="65" t="s">
        <v>162</v>
      </c>
      <c r="C27" s="64"/>
      <c r="D27" s="64">
        <v>60</v>
      </c>
    </row>
    <row r="28" spans="2:15" x14ac:dyDescent="0.25">
      <c r="B28" s="65" t="s">
        <v>167</v>
      </c>
      <c r="C28" s="65"/>
      <c r="D28" s="75">
        <v>2000</v>
      </c>
    </row>
    <row r="29" spans="2:15" x14ac:dyDescent="0.25">
      <c r="B29" s="65" t="s">
        <v>114</v>
      </c>
      <c r="C29" s="64"/>
      <c r="D29" s="69">
        <v>1</v>
      </c>
      <c r="O29" s="77"/>
    </row>
    <row r="30" spans="2:15" x14ac:dyDescent="0.25">
      <c r="B30" s="65" t="s">
        <v>119</v>
      </c>
      <c r="C30" s="64"/>
      <c r="D30" s="69">
        <v>0</v>
      </c>
    </row>
    <row r="31" spans="2:15" x14ac:dyDescent="0.25">
      <c r="B31" s="65" t="s">
        <v>141</v>
      </c>
      <c r="C31" s="64"/>
      <c r="D31" s="69">
        <v>0</v>
      </c>
    </row>
    <row r="32" spans="2:15" x14ac:dyDescent="0.25">
      <c r="B32" s="65" t="s">
        <v>142</v>
      </c>
      <c r="C32" s="64"/>
      <c r="D32" s="69"/>
    </row>
    <row r="33" spans="2:72" x14ac:dyDescent="0.25">
      <c r="B33" s="65" t="s">
        <v>116</v>
      </c>
      <c r="C33" s="64"/>
      <c r="D33" s="69">
        <v>0.05</v>
      </c>
    </row>
    <row r="34" spans="2:72" x14ac:dyDescent="0.25">
      <c r="B34" s="64" t="s">
        <v>171</v>
      </c>
      <c r="C34" s="64"/>
      <c r="D34" s="187">
        <v>1000</v>
      </c>
    </row>
    <row r="35" spans="2:72" x14ac:dyDescent="0.25">
      <c r="B35" s="218" t="s">
        <v>191</v>
      </c>
      <c r="C35" s="64"/>
      <c r="D35" s="219"/>
    </row>
    <row r="37" spans="2:72" x14ac:dyDescent="0.25">
      <c r="B37" s="81" t="s">
        <v>4</v>
      </c>
      <c r="C37" s="81"/>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2:72" x14ac:dyDescent="0.25">
      <c r="B38" s="81" t="s">
        <v>192</v>
      </c>
      <c r="C38" s="81"/>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row>
    <row r="39" spans="2:72" x14ac:dyDescent="0.25">
      <c r="B39" s="81" t="str">
        <f>C2</f>
        <v>XXX</v>
      </c>
      <c r="C39" s="81"/>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row>
    <row r="40" spans="2:72" x14ac:dyDescent="0.25">
      <c r="B40" s="60"/>
      <c r="C40" s="60"/>
      <c r="D40" s="82">
        <f>D3</f>
        <v>2022</v>
      </c>
      <c r="E40" s="82">
        <f>D40+1</f>
        <v>2023</v>
      </c>
      <c r="F40" s="82">
        <f>E40+1</f>
        <v>2024</v>
      </c>
      <c r="G40" s="82">
        <f>F40+1</f>
        <v>2025</v>
      </c>
      <c r="H40" s="82">
        <f>G40+1</f>
        <v>2026</v>
      </c>
      <c r="I40" s="60"/>
      <c r="J40" s="60"/>
      <c r="K40" s="60"/>
      <c r="L40" s="60"/>
      <c r="M40" s="83">
        <f>D3</f>
        <v>2022</v>
      </c>
      <c r="N40" s="83">
        <f>M40+1</f>
        <v>2023</v>
      </c>
      <c r="O40" s="83">
        <f>N40+1</f>
        <v>2024</v>
      </c>
      <c r="P40" s="83">
        <f>O40+1</f>
        <v>2025</v>
      </c>
      <c r="Q40" s="83">
        <f>P40+1</f>
        <v>2026</v>
      </c>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2:72" x14ac:dyDescent="0.25">
      <c r="B41" s="81" t="str">
        <f>"Sales (annual  increase)" &amp;revenue_increase_yr3_5</f>
        <v>Sales (annual  increase)0.03</v>
      </c>
      <c r="C41" s="81"/>
      <c r="D41" s="84">
        <f>SUM(sales_year1)</f>
        <v>25000</v>
      </c>
      <c r="E41" s="84">
        <f>D5</f>
        <v>55000</v>
      </c>
      <c r="F41" s="84">
        <f>E41*(1+$D$6)</f>
        <v>56650</v>
      </c>
      <c r="G41" s="84">
        <f>F41*(1+$D$6)</f>
        <v>58349.5</v>
      </c>
      <c r="H41" s="84">
        <f>G41*(1+$D$6)</f>
        <v>60099.985000000001</v>
      </c>
      <c r="I41" s="60"/>
      <c r="J41" s="85" t="str">
        <f>"Sales w (annual increase)"&amp;revenue_increase_yr3_5</f>
        <v>Sales w (annual increase)0.03</v>
      </c>
      <c r="K41" s="60"/>
      <c r="L41" s="60"/>
      <c r="M41" s="86">
        <f>D41</f>
        <v>25000</v>
      </c>
      <c r="N41" s="86">
        <f>E41</f>
        <v>55000</v>
      </c>
      <c r="O41" s="86">
        <f>F41</f>
        <v>56650</v>
      </c>
      <c r="P41" s="86">
        <f>G41</f>
        <v>58349.5</v>
      </c>
      <c r="Q41" s="86">
        <f>H41</f>
        <v>60099.985000000001</v>
      </c>
      <c r="R41" s="126"/>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row>
    <row r="42" spans="2:72" x14ac:dyDescent="0.25">
      <c r="B42" s="81" t="s">
        <v>99</v>
      </c>
      <c r="C42" s="81"/>
      <c r="D42" s="84">
        <f>Contribution*first_year_depreciation_rule*(((asset1*depreciation_rate1)+(asset2*depreciation_rate2))/(asset1+asset2))+D11</f>
        <v>7661.9047619047615</v>
      </c>
      <c r="E42" s="84">
        <f>(Contribution-D42)*(((asset1*depreciation_rate1)+(asset2*depreciation_rate2))/(asset1+asset2))</f>
        <v>3754.9433106575962</v>
      </c>
      <c r="F42" s="84">
        <f>(Contribution-D42-E42)*(((asset1*depreciation_rate1)+(asset2*depreciation_rate2))/(asset1+asset2))</f>
        <v>2986.0739660943741</v>
      </c>
      <c r="G42" s="84">
        <f>(Contribution-D42-E42-F42)*(((asset1*depreciation_rate1)+(asset2*depreciation_rate2))/(asset1+asset2))</f>
        <v>2374.6397730369545</v>
      </c>
      <c r="H42" s="84">
        <f>(Contribution-D42-E42-F42-G42)*(((asset1*depreciation_rate1)+(asset2*depreciation_rate2))/(asset1+asset2))</f>
        <v>1888.4040099865301</v>
      </c>
      <c r="I42" s="60"/>
      <c r="J42" s="85" t="s">
        <v>6</v>
      </c>
      <c r="K42" s="60"/>
      <c r="L42" s="60"/>
      <c r="M42" s="87">
        <f>D66</f>
        <v>32184.820844150072</v>
      </c>
      <c r="N42" s="87">
        <f>E66</f>
        <v>45925.241216314309</v>
      </c>
      <c r="O42" s="87">
        <f>F66</f>
        <v>37002.299499612229</v>
      </c>
      <c r="P42" s="87">
        <f>G66</f>
        <v>30444.953200832661</v>
      </c>
      <c r="Q42" s="87">
        <f>H66</f>
        <v>34558.385062895548</v>
      </c>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row>
    <row r="43" spans="2:72" x14ac:dyDescent="0.25">
      <c r="B43" s="88" t="str">
        <f>"Cost of Goods Sold" &amp;COGS_data</f>
        <v>Cost of Goods Sold0.1</v>
      </c>
      <c r="C43" s="88"/>
      <c r="D43" s="89">
        <f>D41*COGS_data</f>
        <v>2500</v>
      </c>
      <c r="E43" s="89">
        <f>E41*$D$24</f>
        <v>5500</v>
      </c>
      <c r="F43" s="89">
        <f>F41*$D$24</f>
        <v>5665</v>
      </c>
      <c r="G43" s="89">
        <f>G41*$D$24</f>
        <v>5834.9500000000007</v>
      </c>
      <c r="H43" s="89">
        <f>H41*$D$24</f>
        <v>6009.9985000000006</v>
      </c>
      <c r="I43" s="60"/>
      <c r="J43" s="85" t="s">
        <v>8</v>
      </c>
      <c r="K43" s="60"/>
      <c r="L43" s="60"/>
      <c r="M43" s="84">
        <f>D71</f>
        <v>-2022.9160822453086</v>
      </c>
      <c r="N43" s="84">
        <f>E71</f>
        <v>7329.7020943432872</v>
      </c>
      <c r="O43" s="84">
        <f>F71</f>
        <v>16135.331828520893</v>
      </c>
      <c r="P43" s="84">
        <f>G71</f>
        <v>22040.946892041396</v>
      </c>
      <c r="Q43" s="84">
        <f>H71</f>
        <v>19651.804303201876</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row>
    <row r="44" spans="2:72" x14ac:dyDescent="0.25">
      <c r="B44" s="88"/>
      <c r="C44" s="88"/>
      <c r="D44" s="90"/>
      <c r="E44" s="90"/>
      <c r="F44" s="90"/>
      <c r="G44" s="60"/>
      <c r="H44" s="60"/>
      <c r="I44" s="60"/>
      <c r="J44" s="188" t="s">
        <v>113</v>
      </c>
      <c r="K44" s="60"/>
      <c r="L44" s="60"/>
      <c r="M44" s="84">
        <f>D91</f>
        <v>50351.773173239031</v>
      </c>
      <c r="N44" s="84">
        <f t="shared" ref="N44:Q44" si="0">E91</f>
        <v>63943.546346478048</v>
      </c>
      <c r="O44" s="84">
        <f t="shared" si="0"/>
        <v>62891.969519717059</v>
      </c>
      <c r="P44" s="84">
        <f t="shared" si="0"/>
        <v>62116.239554994863</v>
      </c>
      <c r="Q44" s="84">
        <f t="shared" si="0"/>
        <v>56902.219733070975</v>
      </c>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row>
    <row r="45" spans="2:72" x14ac:dyDescent="0.25">
      <c r="B45" s="81" t="s">
        <v>5</v>
      </c>
      <c r="C45" s="81"/>
      <c r="D45" s="84">
        <f>D41-D43+D42</f>
        <v>30161.904761904763</v>
      </c>
      <c r="E45" s="84">
        <f>E41-E43+E42</f>
        <v>53254.943310657596</v>
      </c>
      <c r="F45" s="84">
        <f>F41-F43+F42</f>
        <v>53971.073966094373</v>
      </c>
      <c r="G45" s="84">
        <f>G41-G43+G42</f>
        <v>54889.18977303696</v>
      </c>
      <c r="H45" s="84">
        <f>H41-H43+H42</f>
        <v>55978.39050998653</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row>
    <row r="46" spans="2:72" x14ac:dyDescent="0.25">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row>
    <row r="47" spans="2:72" x14ac:dyDescent="0.25">
      <c r="B47" s="81" t="s">
        <v>1</v>
      </c>
      <c r="C47" s="81"/>
      <c r="D47" s="60"/>
      <c r="E47" s="60"/>
      <c r="F47" s="60"/>
      <c r="G47" s="60"/>
      <c r="H47" s="60"/>
      <c r="I47" s="60"/>
      <c r="J47" s="81" t="s">
        <v>55</v>
      </c>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row>
    <row r="48" spans="2:72" x14ac:dyDescent="0.25">
      <c r="B48" s="88" t="s">
        <v>111</v>
      </c>
      <c r="C48" s="88"/>
      <c r="D48" s="124">
        <f t="shared" ref="D48:D54" si="1">P161</f>
        <v>150</v>
      </c>
      <c r="E48" s="210">
        <v>100</v>
      </c>
      <c r="F48" s="210">
        <v>100</v>
      </c>
      <c r="G48" s="210">
        <v>100</v>
      </c>
      <c r="H48" s="210">
        <v>100</v>
      </c>
      <c r="I48" s="60"/>
      <c r="J48" s="81" t="str">
        <f>C2</f>
        <v>XXX</v>
      </c>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row>
    <row r="49" spans="1:72" x14ac:dyDescent="0.25">
      <c r="B49" s="81" t="s">
        <v>81</v>
      </c>
      <c r="C49" s="81"/>
      <c r="D49" s="124">
        <f t="shared" si="1"/>
        <v>200</v>
      </c>
      <c r="E49" s="210">
        <v>200</v>
      </c>
      <c r="F49" s="210">
        <v>200</v>
      </c>
      <c r="G49" s="210">
        <v>200</v>
      </c>
      <c r="H49" s="210">
        <v>200</v>
      </c>
      <c r="I49" s="60"/>
      <c r="J49" s="60"/>
      <c r="K49" s="60"/>
      <c r="L49" s="81">
        <f>'Financial Projections'!D3</f>
        <v>2022</v>
      </c>
      <c r="M49" s="91">
        <f>L49+1</f>
        <v>2023</v>
      </c>
      <c r="N49" s="91">
        <f>M49+1</f>
        <v>2024</v>
      </c>
      <c r="O49" s="91">
        <f>N49+1</f>
        <v>2025</v>
      </c>
      <c r="P49" s="91">
        <f>O49+1</f>
        <v>2026</v>
      </c>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row>
    <row r="50" spans="1:72" x14ac:dyDescent="0.25">
      <c r="B50" s="88" t="s">
        <v>78</v>
      </c>
      <c r="C50" s="88"/>
      <c r="D50" s="124">
        <f t="shared" si="1"/>
        <v>100</v>
      </c>
      <c r="E50" s="210">
        <v>200</v>
      </c>
      <c r="F50" s="210">
        <v>200</v>
      </c>
      <c r="G50" s="210">
        <v>200</v>
      </c>
      <c r="H50" s="210">
        <v>200</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row>
    <row r="51" spans="1:72" x14ac:dyDescent="0.25">
      <c r="B51" s="217" t="s">
        <v>242</v>
      </c>
      <c r="C51" s="88"/>
      <c r="D51" s="124">
        <f t="shared" si="1"/>
        <v>800</v>
      </c>
      <c r="E51" s="210">
        <f>1300*1.1</f>
        <v>1430.0000000000002</v>
      </c>
      <c r="F51" s="210">
        <f>E51*1.1</f>
        <v>1573.0000000000005</v>
      </c>
      <c r="G51" s="210">
        <f>F51*1.1</f>
        <v>1730.3000000000006</v>
      </c>
      <c r="H51" s="210">
        <f>G51*1.1</f>
        <v>1903.3300000000008</v>
      </c>
      <c r="I51" s="60"/>
      <c r="J51" s="81" t="s">
        <v>15</v>
      </c>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row>
    <row r="52" spans="1:72" x14ac:dyDescent="0.25">
      <c r="B52" s="81" t="s">
        <v>77</v>
      </c>
      <c r="C52" s="81"/>
      <c r="D52" s="124">
        <f t="shared" si="1"/>
        <v>1000</v>
      </c>
      <c r="E52" s="211">
        <v>500</v>
      </c>
      <c r="F52" s="211">
        <v>500</v>
      </c>
      <c r="G52" s="211">
        <v>500</v>
      </c>
      <c r="H52" s="211">
        <v>500</v>
      </c>
      <c r="I52" s="60"/>
      <c r="J52" s="60" t="s">
        <v>93</v>
      </c>
      <c r="K52" s="60"/>
      <c r="L52" s="92">
        <f>'Financial Projections'!D103/('Financial Projections'!D116+'Financial Projections'!D115)</f>
        <v>5.7293155880320548</v>
      </c>
      <c r="M52" s="92">
        <f>'Financial Projections'!E103/('Financial Projections'!E116+'Financial Projections'!E115)</f>
        <v>6.596815237522283</v>
      </c>
      <c r="N52" s="92">
        <f>'Financial Projections'!F103/('Financial Projections'!F116+'Financial Projections'!F115)</f>
        <v>5.4629095100253915</v>
      </c>
      <c r="O52" s="92">
        <f>'Financial Projections'!G103/('Financial Projections'!G116+'Financial Projections'!G115)</f>
        <v>4.3884083071046094</v>
      </c>
      <c r="P52" s="92">
        <f>'Financial Projections'!H103/('Financial Projections'!H116+'Financial Projections'!H115)</f>
        <v>33.030585666069371</v>
      </c>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row>
    <row r="53" spans="1:72" x14ac:dyDescent="0.25">
      <c r="B53" s="88" t="s">
        <v>72</v>
      </c>
      <c r="C53" s="88"/>
      <c r="D53" s="124">
        <f t="shared" si="1"/>
        <v>1500</v>
      </c>
      <c r="E53" s="210">
        <v>300</v>
      </c>
      <c r="F53" s="210">
        <v>325</v>
      </c>
      <c r="G53" s="210">
        <v>325</v>
      </c>
      <c r="H53" s="210">
        <v>325</v>
      </c>
      <c r="I53" s="60"/>
      <c r="J53" s="60" t="s">
        <v>56</v>
      </c>
      <c r="K53" s="60"/>
      <c r="L53" s="93">
        <f>(D100+D101)/D117</f>
        <v>5.6177456220115287</v>
      </c>
      <c r="M53" s="93">
        <f>(E100+E101)/E117</f>
        <v>6.4579477724767722</v>
      </c>
      <c r="N53" s="93">
        <f>(F100+F101)/F117</f>
        <v>5.3426006964498374</v>
      </c>
      <c r="O53" s="93">
        <f>(G100+G101)/G117</f>
        <v>4.2877156122830691</v>
      </c>
      <c r="P53" s="93">
        <f>(H100+H101)/H117</f>
        <v>32.180852234896889</v>
      </c>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row>
    <row r="54" spans="1:72" x14ac:dyDescent="0.25">
      <c r="B54" s="88" t="s">
        <v>73</v>
      </c>
      <c r="C54" s="88"/>
      <c r="D54" s="124">
        <f t="shared" si="1"/>
        <v>200</v>
      </c>
      <c r="E54" s="210">
        <v>100</v>
      </c>
      <c r="F54" s="210">
        <v>100</v>
      </c>
      <c r="G54" s="210">
        <v>100</v>
      </c>
      <c r="H54" s="210">
        <v>100</v>
      </c>
      <c r="I54" s="60"/>
      <c r="J54" s="60" t="s">
        <v>57</v>
      </c>
      <c r="K54" s="60"/>
      <c r="L54" s="94">
        <f>'Financial Projections'!D122/'Financial Projections'!D128</f>
        <v>0.63409705553432094</v>
      </c>
      <c r="M54" s="94">
        <f>'Financial Projections'!E122/'Financial Projections'!E128</f>
        <v>0.51466162334103727</v>
      </c>
      <c r="N54" s="94">
        <f>'Financial Projections'!F122/'Financial Projections'!F128</f>
        <v>0.43003021523096896</v>
      </c>
      <c r="O54" s="94">
        <f>'Financial Projections'!G122/'Financial Projections'!G128</f>
        <v>0.30209654022937371</v>
      </c>
      <c r="P54" s="94">
        <f>'Financial Projections'!H122/'Financial Projections'!H128</f>
        <v>0.13359144078515825</v>
      </c>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row>
    <row r="55" spans="1:72" x14ac:dyDescent="0.25">
      <c r="B55" s="88" t="s">
        <v>76</v>
      </c>
      <c r="C55" s="88"/>
      <c r="D55" s="124">
        <f>sum_interest</f>
        <v>4634.820844150071</v>
      </c>
      <c r="E55" s="210">
        <f>IF(Loan_data&gt;1,SUM('Loan Amortization Schedule'!D26:D37))</f>
        <v>3785.2412163143099</v>
      </c>
      <c r="F55" s="210">
        <f>IF(Loan_data&gt;1,SUM('Loan Amortization Schedule'!D38:D49))</f>
        <v>2846.6994996122326</v>
      </c>
      <c r="G55" s="210">
        <f>IF(Loan_data&gt;1,SUM('Loan Amortization Schedule'!D50:D61))</f>
        <v>1809.8802008326595</v>
      </c>
      <c r="H55" s="210">
        <f>IF(Loan_data&gt;1,SUM('Loan Amortization Schedule'!D62:D73))</f>
        <v>664.49237289554253</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row>
    <row r="56" spans="1:72" x14ac:dyDescent="0.25">
      <c r="B56" s="88" t="s">
        <v>79</v>
      </c>
      <c r="C56" s="88"/>
      <c r="D56" s="124">
        <f>gen_bus_liability</f>
        <v>1200</v>
      </c>
      <c r="E56" s="210">
        <v>775</v>
      </c>
      <c r="F56" s="210">
        <v>800</v>
      </c>
      <c r="G56" s="210">
        <v>800</v>
      </c>
      <c r="H56" s="210">
        <v>800</v>
      </c>
      <c r="I56" s="60"/>
      <c r="J56" s="81" t="s">
        <v>58</v>
      </c>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row>
    <row r="57" spans="1:72" x14ac:dyDescent="0.25">
      <c r="B57" s="88" t="str">
        <f>B9</f>
        <v xml:space="preserve">WSCC </v>
      </c>
      <c r="C57" s="88"/>
      <c r="D57" s="124">
        <f>WCB_expense</f>
        <v>100</v>
      </c>
      <c r="E57" s="210">
        <f>E64*$D$9</f>
        <v>220</v>
      </c>
      <c r="F57" s="210">
        <f>F64*$D$9</f>
        <v>226.6</v>
      </c>
      <c r="G57" s="210">
        <f>G64*$D$9</f>
        <v>233.39800000000002</v>
      </c>
      <c r="H57" s="210">
        <f>H64*$D$9</f>
        <v>240.39994000000002</v>
      </c>
      <c r="I57" s="60"/>
      <c r="J57" s="60" t="s">
        <v>59</v>
      </c>
      <c r="K57" s="60"/>
      <c r="L57" s="95">
        <f>'Financial Projections'!D45/('Financial Projections'!D41+'Financial Projections'!D42)</f>
        <v>0.92345823006269134</v>
      </c>
      <c r="M57" s="95">
        <f>'Financial Projections'!E45/('Financial Projections'!E41+'Financial Projections'!E42)</f>
        <v>0.90639085513333562</v>
      </c>
      <c r="N57" s="95">
        <f>'Financial Projections'!F45/('Financial Projections'!F41+'Financial Projections'!F42)</f>
        <v>0.90500716054479391</v>
      </c>
      <c r="O57" s="95">
        <f>'Financial Projections'!G45/('Financial Projections'!G41+'Financial Projections'!G42)</f>
        <v>0.90391053670239296</v>
      </c>
      <c r="P57" s="95">
        <f>'Financial Projections'!H45/('Financial Projections'!H41+'Financial Projections'!H42)</f>
        <v>0.90304638342784205</v>
      </c>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row>
    <row r="58" spans="1:72" x14ac:dyDescent="0.25">
      <c r="B58" s="88" t="s">
        <v>85</v>
      </c>
      <c r="C58" s="88"/>
      <c r="D58" s="124">
        <f>small_tools_expense</f>
        <v>600</v>
      </c>
      <c r="E58" s="210">
        <v>500</v>
      </c>
      <c r="F58" s="210">
        <v>500</v>
      </c>
      <c r="G58" s="210">
        <v>500</v>
      </c>
      <c r="H58" s="210">
        <v>500</v>
      </c>
      <c r="I58" s="60"/>
      <c r="J58" s="60" t="s">
        <v>60</v>
      </c>
      <c r="K58" s="60"/>
      <c r="L58" s="95">
        <f>'Financial Projections'!D68/('Financial Projections'!D41+'Financial Projections'!D42)</f>
        <v>-6.1935030947880859E-2</v>
      </c>
      <c r="M58" s="95">
        <f>'Financial Projections'!E68/('Financial Projections'!E41+'Financial Projections'!E42)</f>
        <v>0.12475039003252256</v>
      </c>
      <c r="N58" s="95">
        <f>'Financial Projections'!F68/('Financial Projections'!F41+'Financial Projections'!F42)</f>
        <v>0.28453875880779156</v>
      </c>
      <c r="O58" s="95">
        <f>'Financial Projections'!G68/('Financial Projections'!G41+'Financial Projections'!G42)</f>
        <v>0.40254562128944565</v>
      </c>
      <c r="P58" s="95">
        <f>'Financial Projections'!H68/('Financial Projections'!H41+'Financial Projections'!H42)</f>
        <v>0.34554867111710469</v>
      </c>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row>
    <row r="59" spans="1:72" x14ac:dyDescent="0.25">
      <c r="B59" s="88" t="s">
        <v>74</v>
      </c>
      <c r="C59" s="88"/>
      <c r="D59" s="124">
        <f>sum_bookkeeping_yr1</f>
        <v>800</v>
      </c>
      <c r="E59" s="210">
        <v>210</v>
      </c>
      <c r="F59" s="210">
        <v>225</v>
      </c>
      <c r="G59" s="210">
        <v>225</v>
      </c>
      <c r="H59" s="210">
        <v>225</v>
      </c>
      <c r="I59" s="60"/>
      <c r="J59" s="60" t="s">
        <v>61</v>
      </c>
      <c r="K59" s="60"/>
      <c r="L59" s="96">
        <f>'Financial Projections'!D41/'Financial Projections'!D112</f>
        <v>0.16108063386682153</v>
      </c>
      <c r="M59" s="96">
        <f>'Financial Projections'!E41/'Financial Projections'!E112</f>
        <v>0.39338105238888726</v>
      </c>
      <c r="N59" s="96">
        <f>'Financial Projections'!F41/'Financial Projections'!F112</f>
        <v>0.48051346345945278</v>
      </c>
      <c r="O59" s="96">
        <f>'Financial Projections'!G41/'Financial Projections'!G112</f>
        <v>0.57097619250181808</v>
      </c>
      <c r="P59" s="96">
        <f>'Financial Projections'!H41/'Financial Projections'!H112</f>
        <v>0.77812322845994653</v>
      </c>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row>
    <row r="60" spans="1:72" x14ac:dyDescent="0.25">
      <c r="B60" s="60" t="s">
        <v>46</v>
      </c>
      <c r="C60" s="60"/>
      <c r="D60" s="60"/>
      <c r="E60" s="60"/>
      <c r="F60" s="60"/>
      <c r="G60" s="60"/>
      <c r="H60" s="60"/>
      <c r="I60" s="60"/>
      <c r="J60" s="60" t="s">
        <v>62</v>
      </c>
      <c r="K60" s="60"/>
      <c r="L60" s="95">
        <f>'Financial Projections'!D68/'Financial Projections'!D112</f>
        <v>-1.3034104191498464E-2</v>
      </c>
      <c r="M60" s="95">
        <f>'Financial Projections'!E68/'Financial Projections'!E112</f>
        <v>5.2424834973996241E-2</v>
      </c>
      <c r="N60" s="95">
        <f>'Financial Projections'!F68/'Financial Projections'!F112</f>
        <v>0.14393159028334798</v>
      </c>
      <c r="O60" s="95">
        <f>'Financial Projections'!G68/'Financial Projections'!G112</f>
        <v>0.23919788732741334</v>
      </c>
      <c r="P60" s="95">
        <f>'Financial Projections'!H68/'Financial Projections'!H112</f>
        <v>0.27732791933508927</v>
      </c>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row>
    <row r="61" spans="1:72" x14ac:dyDescent="0.25">
      <c r="A61" s="65" t="s">
        <v>89</v>
      </c>
      <c r="B61" s="197" t="str">
        <f>C13</f>
        <v>ie: Janitorial Equipment</v>
      </c>
      <c r="C61" s="197"/>
      <c r="D61" s="97">
        <f>asset1*depreciation_rate1*D20</f>
        <v>2000</v>
      </c>
      <c r="E61" s="98">
        <f>(asset1-D61)*depreciation_rate1</f>
        <v>3600</v>
      </c>
      <c r="F61" s="98">
        <f>(asset1-D61-E61)*depreciation_rate1</f>
        <v>2880</v>
      </c>
      <c r="G61" s="98">
        <f>(asset1-D61-E61-F61)*depreciation_rate1</f>
        <v>2304</v>
      </c>
      <c r="H61" s="98">
        <f>(asset1-D61-E61-F61-G61)*depreciation_rate1</f>
        <v>1843.2</v>
      </c>
      <c r="I61" s="60"/>
      <c r="J61" s="60" t="s">
        <v>63</v>
      </c>
      <c r="K61" s="60"/>
      <c r="L61" s="95">
        <f>'Financial Projections'!D68/'Financial Projections'!D128</f>
        <v>-2.129899128085519E-2</v>
      </c>
      <c r="M61" s="95">
        <f>'Financial Projections'!E68/'Financial Projections'!E128</f>
        <v>7.9405885645099122E-2</v>
      </c>
      <c r="N61" s="95">
        <f>'Financial Projections'!F68/'Financial Projections'!F128</f>
        <v>0.20582652303143167</v>
      </c>
      <c r="O61" s="95">
        <f>'Financial Projections'!G68/'Financial Projections'!G128</f>
        <v>0.31145874151920033</v>
      </c>
      <c r="P61" s="95">
        <f>'Financial Projections'!H68/'Financial Projections'!H128</f>
        <v>0.31437655564901379</v>
      </c>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row>
    <row r="62" spans="1:72" x14ac:dyDescent="0.25">
      <c r="A62" s="65" t="s">
        <v>91</v>
      </c>
      <c r="B62" s="197" t="str">
        <f>C14</f>
        <v>i.e: Vehicle</v>
      </c>
      <c r="C62" s="197"/>
      <c r="D62" s="97">
        <f>asset2*depreciation_rate2*D20</f>
        <v>150</v>
      </c>
      <c r="E62" s="98">
        <f>(D14-D62)*D18</f>
        <v>255</v>
      </c>
      <c r="F62" s="99">
        <f>($D$14-D62-E62)*$D$18</f>
        <v>178.5</v>
      </c>
      <c r="G62" s="99">
        <f>($D$14-E62-F62)*$D$18</f>
        <v>169.95</v>
      </c>
      <c r="H62" s="99">
        <f>($D$14-F62-G62)*$D$18</f>
        <v>195.46499999999997</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row>
    <row r="63" spans="1:72" x14ac:dyDescent="0.25">
      <c r="A63" s="65" t="s">
        <v>145</v>
      </c>
      <c r="B63" s="198" t="str">
        <f>C15</f>
        <v>i.e.: XXX</v>
      </c>
      <c r="C63" s="198"/>
      <c r="D63" s="100">
        <f>D15*depreciation_rate_asset3*0.5</f>
        <v>15000</v>
      </c>
      <c r="E63" s="101">
        <f>(D106-D63)*depreciation_rate_asset3</f>
        <v>25500</v>
      </c>
      <c r="F63" s="101">
        <f>(E106-E63-D63)*depreciation_rate_asset3</f>
        <v>17850</v>
      </c>
      <c r="G63" s="101">
        <f>(F106-D63-E63-F63)*depreciation_rate_asset3</f>
        <v>12495</v>
      </c>
      <c r="H63" s="101">
        <f>(G106--D63-E63-F63-G63)*depreciation_rate_asset3</f>
        <v>17746.5</v>
      </c>
      <c r="I63" s="60"/>
      <c r="J63" s="81" t="s">
        <v>64</v>
      </c>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row>
    <row r="64" spans="1:72" ht="13.8" customHeight="1" x14ac:dyDescent="0.25">
      <c r="B64" s="88" t="s">
        <v>70</v>
      </c>
      <c r="C64" s="88"/>
      <c r="D64" s="123">
        <f>P173</f>
        <v>2500</v>
      </c>
      <c r="E64" s="84">
        <f>E41*$D$8</f>
        <v>5500</v>
      </c>
      <c r="F64" s="84">
        <f>F41*$D$8</f>
        <v>5665</v>
      </c>
      <c r="G64" s="84">
        <f>G41*$D$8</f>
        <v>5834.9500000000007</v>
      </c>
      <c r="H64" s="84">
        <f>H41*$D$8</f>
        <v>6009.9985000000006</v>
      </c>
      <c r="I64" s="60"/>
      <c r="J64" s="60" t="s">
        <v>65</v>
      </c>
      <c r="K64" s="60"/>
      <c r="L64" s="92">
        <f>'Financial Projections'!D43/'Financial Projections'!D102</f>
        <v>2.5</v>
      </c>
      <c r="M64" s="92">
        <f>'Financial Projections'!E81/(('Financial Projections'!E102+'Financial Projections'!D102)/2)</f>
        <v>4.6315789473684212</v>
      </c>
      <c r="N64" s="92">
        <f>'Financial Projections'!F81/(('Financial Projections'!F102+'Financial Projections'!E102)/2)</f>
        <v>4.0591133004926112</v>
      </c>
      <c r="O64" s="92">
        <f>'Financial Projections'!G81/(('Financial Projections'!G102+'Financial Projections'!F102)/2)</f>
        <v>4.0591133004926112</v>
      </c>
      <c r="P64" s="92">
        <f>'Financial Projections'!H81/(('Financial Projections'!H102+'Financial Projections'!G102)/2)</f>
        <v>4.0591133004926103</v>
      </c>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row>
    <row r="65" spans="2:72" x14ac:dyDescent="0.25">
      <c r="B65" s="88" t="s">
        <v>122</v>
      </c>
      <c r="C65" s="60"/>
      <c r="D65" s="104">
        <f>-SUM(allowance_year1)</f>
        <v>1250</v>
      </c>
      <c r="E65" s="104">
        <f>-SUM(allowance_yr2)</f>
        <v>2749.9999999999995</v>
      </c>
      <c r="F65" s="104">
        <f>-SUM(allowance_yr3)</f>
        <v>2832.4999999999995</v>
      </c>
      <c r="G65" s="104">
        <f>-SUM(allowance_yr4)</f>
        <v>2917.4749999999999</v>
      </c>
      <c r="H65" s="104">
        <f>-SUM(allowance_yr5)</f>
        <v>3004.9992500000003</v>
      </c>
      <c r="I65" s="60"/>
      <c r="J65" s="88" t="s">
        <v>65</v>
      </c>
      <c r="K65" s="60"/>
      <c r="L65" s="60">
        <f>D43/D82</f>
        <v>2.5</v>
      </c>
      <c r="M65" s="103">
        <f>E43/((E102+D102)/2)</f>
        <v>4.6315789473684212</v>
      </c>
      <c r="N65" s="103">
        <f>F43/((F102+E102)/2)</f>
        <v>4.0591133004926112</v>
      </c>
      <c r="O65" s="103">
        <f>G43/((G102+F102)/2)</f>
        <v>4.0591133004926112</v>
      </c>
      <c r="P65" s="103">
        <f>H43/((H102+G102)/2)</f>
        <v>4.0591133004926103</v>
      </c>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row>
    <row r="66" spans="2:72" x14ac:dyDescent="0.25">
      <c r="B66" s="81" t="s">
        <v>6</v>
      </c>
      <c r="C66" s="81"/>
      <c r="D66" s="84">
        <f>SUM(D48:D65)</f>
        <v>32184.820844150072</v>
      </c>
      <c r="E66" s="84">
        <f>SUM(E48:E65)</f>
        <v>45925.241216314309</v>
      </c>
      <c r="F66" s="84">
        <f>SUM(F48:F65)</f>
        <v>37002.299499612229</v>
      </c>
      <c r="G66" s="84">
        <f>SUM(G48:G65)</f>
        <v>30444.953200832661</v>
      </c>
      <c r="H66" s="84">
        <f>SUM(H48:H65)</f>
        <v>34558.385062895548</v>
      </c>
      <c r="I66" s="60"/>
      <c r="J66" s="60"/>
      <c r="K66" s="60"/>
      <c r="L66" s="95"/>
      <c r="M66" s="95"/>
      <c r="N66" s="95"/>
      <c r="O66" s="95"/>
      <c r="P66" s="95"/>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row>
    <row r="67" spans="2:72" x14ac:dyDescent="0.25">
      <c r="B67" s="60"/>
      <c r="C67" s="60"/>
      <c r="D67" s="105"/>
      <c r="E67" s="105"/>
      <c r="F67" s="105"/>
      <c r="G67" s="105"/>
      <c r="H67" s="105"/>
      <c r="I67" s="60"/>
      <c r="J67" s="60"/>
      <c r="K67" s="60"/>
      <c r="L67" s="95"/>
      <c r="M67" s="95"/>
      <c r="N67" s="95"/>
      <c r="O67" s="95"/>
      <c r="P67" s="95"/>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row>
    <row r="68" spans="2:72" x14ac:dyDescent="0.25">
      <c r="B68" s="81" t="s">
        <v>7</v>
      </c>
      <c r="C68" s="81"/>
      <c r="D68" s="89">
        <f>D45-D66</f>
        <v>-2022.9160822453086</v>
      </c>
      <c r="E68" s="89">
        <f>E45-E66</f>
        <v>7329.7020943432872</v>
      </c>
      <c r="F68" s="89">
        <f>F45-F66</f>
        <v>16968.774466482144</v>
      </c>
      <c r="G68" s="89">
        <f>G45-G66</f>
        <v>24444.2365722043</v>
      </c>
      <c r="H68" s="89">
        <f>H45-H66</f>
        <v>21420.005447090982</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row>
    <row r="69" spans="2:72" x14ac:dyDescent="0.25">
      <c r="B69" s="217" t="str">
        <f>income_tax_rate&amp; "% on income over $13,000"</f>
        <v>0.21% on income over $13,000</v>
      </c>
      <c r="C69" s="88"/>
      <c r="D69" s="108">
        <f>IF(D68&lt;13000,0,income_tax_rate*(D68-13000))</f>
        <v>0</v>
      </c>
      <c r="E69" s="108">
        <f>IF(E68&lt;13000,0,income_tax_rate*(E68-13000))</f>
        <v>0</v>
      </c>
      <c r="F69" s="108">
        <f>IF(F68&lt;13000,0,income_tax_rate*(F68-13000))</f>
        <v>833.44263796125017</v>
      </c>
      <c r="G69" s="108">
        <f>IF(G68&lt;13000,0,income_tax_rate*(G68-13000))</f>
        <v>2403.2896801629026</v>
      </c>
      <c r="H69" s="108">
        <f>IF(H68&lt;13000,0,income_tax_rate*(H68-13000))</f>
        <v>1768.2011438891061</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row>
    <row r="70" spans="2:72" x14ac:dyDescent="0.25">
      <c r="B70" s="81"/>
      <c r="C70" s="60"/>
      <c r="D70" s="60"/>
      <c r="E70" s="109"/>
      <c r="F70" s="10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row>
    <row r="71" spans="2:72" ht="13.8" thickBot="1" x14ac:dyDescent="0.3">
      <c r="B71" s="199" t="s">
        <v>8</v>
      </c>
      <c r="C71" s="199"/>
      <c r="D71" s="110">
        <f>D68-D69</f>
        <v>-2022.9160822453086</v>
      </c>
      <c r="E71" s="110">
        <f>E68-E69</f>
        <v>7329.7020943432872</v>
      </c>
      <c r="F71" s="110">
        <f>F68-F69</f>
        <v>16135.331828520893</v>
      </c>
      <c r="G71" s="110">
        <f>G68-G69</f>
        <v>22040.946892041396</v>
      </c>
      <c r="H71" s="110">
        <f>H68-H69</f>
        <v>19651.804303201876</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v>65</v>
      </c>
      <c r="BD71" s="60"/>
      <c r="BE71" s="60"/>
      <c r="BF71" s="60"/>
      <c r="BG71" s="60"/>
      <c r="BH71" s="60"/>
      <c r="BI71" s="60"/>
      <c r="BJ71" s="60"/>
      <c r="BK71" s="60"/>
      <c r="BL71" s="60"/>
      <c r="BM71" s="60"/>
      <c r="BN71" s="60"/>
      <c r="BO71" s="60"/>
      <c r="BP71" s="60"/>
      <c r="BQ71" s="60"/>
      <c r="BR71" s="60"/>
      <c r="BS71" s="60"/>
      <c r="BT71" s="60"/>
    </row>
    <row r="72" spans="2:72" ht="13.8" thickTop="1" x14ac:dyDescent="0.25">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v>22</v>
      </c>
      <c r="BD72" s="60"/>
      <c r="BE72" s="60"/>
      <c r="BF72" s="60"/>
      <c r="BG72" s="60"/>
      <c r="BH72" s="60"/>
      <c r="BI72" s="60"/>
      <c r="BJ72" s="60"/>
      <c r="BK72" s="60"/>
      <c r="BL72" s="60"/>
      <c r="BM72" s="60"/>
      <c r="BN72" s="60"/>
      <c r="BO72" s="60"/>
      <c r="BP72" s="60"/>
      <c r="BQ72" s="60"/>
      <c r="BR72" s="60"/>
      <c r="BS72" s="60"/>
      <c r="BT72" s="60"/>
    </row>
    <row r="73" spans="2:72" x14ac:dyDescent="0.25">
      <c r="B73" s="60"/>
      <c r="C73" s="60"/>
      <c r="D73" s="82">
        <f>D40</f>
        <v>2022</v>
      </c>
      <c r="E73" s="82">
        <f>E40</f>
        <v>2023</v>
      </c>
      <c r="F73" s="82">
        <f>F40</f>
        <v>2024</v>
      </c>
      <c r="G73" s="82">
        <f>G40</f>
        <v>2025</v>
      </c>
      <c r="H73" s="82">
        <f>H40</f>
        <v>2026</v>
      </c>
      <c r="I73" s="60"/>
      <c r="J73" s="60"/>
      <c r="K73" s="60"/>
      <c r="L73" s="105"/>
      <c r="M73" s="106">
        <f>'Financial Projections'!D3</f>
        <v>2022</v>
      </c>
      <c r="N73" s="106">
        <f>M73+1</f>
        <v>2023</v>
      </c>
      <c r="O73" s="106">
        <f>N73+1</f>
        <v>2024</v>
      </c>
      <c r="P73" s="106">
        <f>O73+1</f>
        <v>2025</v>
      </c>
      <c r="Q73" s="106">
        <f>P73+1</f>
        <v>2026</v>
      </c>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row>
    <row r="74" spans="2:72" x14ac:dyDescent="0.25">
      <c r="B74" s="60" t="s">
        <v>9</v>
      </c>
      <c r="C74" s="60"/>
      <c r="D74" s="123">
        <f>D28</f>
        <v>2000</v>
      </c>
      <c r="E74" s="84">
        <f>D91</f>
        <v>50351.773173239031</v>
      </c>
      <c r="F74" s="84">
        <f>E91</f>
        <v>63943.546346478048</v>
      </c>
      <c r="G74" s="84">
        <f>F91</f>
        <v>62891.969519717059</v>
      </c>
      <c r="H74" s="84">
        <f>G91</f>
        <v>62116.239554994863</v>
      </c>
      <c r="I74" s="60"/>
      <c r="J74" s="102"/>
      <c r="K74" s="107" t="s">
        <v>0</v>
      </c>
      <c r="L74" s="60"/>
      <c r="M74" s="84">
        <f>'Financial Projections'!D41</f>
        <v>25000</v>
      </c>
      <c r="N74" s="84">
        <f>'Financial Projections'!E41</f>
        <v>55000</v>
      </c>
      <c r="O74" s="84">
        <f>'Financial Projections'!F41</f>
        <v>56650</v>
      </c>
      <c r="P74" s="84">
        <f>'Financial Projections'!G41</f>
        <v>58349.5</v>
      </c>
      <c r="Q74" s="84">
        <f>'Financial Projections'!H41</f>
        <v>60099.985000000001</v>
      </c>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row>
    <row r="75" spans="2:72" x14ac:dyDescent="0.25">
      <c r="B75" s="60" t="s">
        <v>2</v>
      </c>
      <c r="C75" s="60"/>
      <c r="D75" s="60"/>
      <c r="E75" s="60"/>
      <c r="F75" s="60"/>
      <c r="G75" s="60"/>
      <c r="H75" s="60"/>
      <c r="I75" s="60"/>
      <c r="J75" s="102"/>
      <c r="K75" s="107" t="s">
        <v>66</v>
      </c>
      <c r="L75" s="60"/>
      <c r="M75" s="84">
        <f>'Financial Projections'!D68</f>
        <v>-2022.9160822453086</v>
      </c>
      <c r="N75" s="84">
        <f>'Financial Projections'!E68</f>
        <v>7329.7020943432872</v>
      </c>
      <c r="O75" s="84">
        <f>'Financial Projections'!F68</f>
        <v>16968.774466482144</v>
      </c>
      <c r="P75" s="84">
        <f>'Financial Projections'!G68</f>
        <v>24444.2365722043</v>
      </c>
      <c r="Q75" s="84">
        <f>'Financial Projections'!H68</f>
        <v>21420.005447090982</v>
      </c>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row>
    <row r="76" spans="2:72" x14ac:dyDescent="0.25">
      <c r="B76" s="88" t="s">
        <v>80</v>
      </c>
      <c r="C76" s="88"/>
      <c r="D76" s="123">
        <f>D10</f>
        <v>26000</v>
      </c>
      <c r="E76" s="60"/>
      <c r="F76" s="60"/>
      <c r="G76" s="60"/>
      <c r="H76" s="60"/>
      <c r="I76" s="60"/>
      <c r="J76" s="102"/>
      <c r="K76" s="107" t="s">
        <v>46</v>
      </c>
      <c r="L76" s="60"/>
      <c r="M76" s="84">
        <f>'Financial Projections'!D63</f>
        <v>15000</v>
      </c>
      <c r="N76" s="84">
        <f>'Financial Projections'!E63</f>
        <v>25500</v>
      </c>
      <c r="O76" s="84">
        <f>'Financial Projections'!F63</f>
        <v>17850</v>
      </c>
      <c r="P76" s="84">
        <f>'Financial Projections'!G63</f>
        <v>12495</v>
      </c>
      <c r="Q76" s="84">
        <f>'Financial Projections'!H63</f>
        <v>17746.5</v>
      </c>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row>
    <row r="77" spans="2:72" x14ac:dyDescent="0.25">
      <c r="B77" s="88" t="s">
        <v>75</v>
      </c>
      <c r="C77" s="88"/>
      <c r="D77" s="123">
        <f>D25</f>
        <v>50000</v>
      </c>
      <c r="E77" s="60"/>
      <c r="F77" s="60"/>
      <c r="G77" s="60"/>
      <c r="H77" s="60"/>
      <c r="I77" s="60"/>
      <c r="J77" s="102"/>
      <c r="K77" s="107" t="s">
        <v>67</v>
      </c>
      <c r="L77" s="60"/>
      <c r="M77" s="84">
        <f>'Financial Projections'!D91</f>
        <v>50351.773173239031</v>
      </c>
      <c r="N77" s="84">
        <f>'Financial Projections'!E91</f>
        <v>63943.546346478048</v>
      </c>
      <c r="O77" s="84">
        <f>'Financial Projections'!F91</f>
        <v>62891.969519717059</v>
      </c>
      <c r="P77" s="84">
        <f>'Financial Projections'!G91</f>
        <v>62116.239554994863</v>
      </c>
      <c r="Q77" s="84">
        <f>'Financial Projections'!H91</f>
        <v>56902.219733070975</v>
      </c>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row>
    <row r="78" spans="2:72" x14ac:dyDescent="0.25">
      <c r="B78" s="60" t="s">
        <v>92</v>
      </c>
      <c r="C78" s="60"/>
      <c r="D78" s="123">
        <f>SUM(Cash_Receipts)</f>
        <v>23750</v>
      </c>
      <c r="E78" s="84">
        <f>SUM(cash_receipts_yr2)</f>
        <v>52249.999999999978</v>
      </c>
      <c r="F78" s="84">
        <f>SUM(cash_receipts_yr3)</f>
        <v>53817.499999999978</v>
      </c>
      <c r="G78" s="84">
        <f>SUM(cash_receipts_yr4)</f>
        <v>55432.025000000016</v>
      </c>
      <c r="H78" s="84">
        <f>SUM(cash_receipts_yr5)</f>
        <v>57094.985749999993</v>
      </c>
      <c r="I78" s="60"/>
      <c r="J78" s="102"/>
      <c r="K78" s="107" t="s">
        <v>68</v>
      </c>
      <c r="L78" s="60"/>
      <c r="M78" s="84">
        <f>'Financial Projections'!D103-'Financial Projections'!D117</f>
        <v>42388.787562792379</v>
      </c>
      <c r="N78" s="84">
        <f>'Financial Projections'!E103-'Financial Projections'!E117</f>
        <v>55417.019019329317</v>
      </c>
      <c r="O78" s="84">
        <f>'Financial Projections'!F103-'Financial Projections'!F117</f>
        <v>52536.430255827501</v>
      </c>
      <c r="P78" s="84">
        <f>'Financial Projections'!G103-'Financial Projections'!G117</f>
        <v>49087.952920966542</v>
      </c>
      <c r="Q78" s="84">
        <f>'Financial Projections'!H103-'Financial Projections'!H117</f>
        <v>56636.518214181866</v>
      </c>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row>
    <row r="79" spans="2:72" x14ac:dyDescent="0.25">
      <c r="B79" s="60" t="s">
        <v>11</v>
      </c>
      <c r="C79" s="60"/>
      <c r="D79" s="84">
        <f>D74+D76+D77+D78</f>
        <v>101750</v>
      </c>
      <c r="E79" s="84">
        <f>E74+E76+E77+E78</f>
        <v>102601.77317323901</v>
      </c>
      <c r="F79" s="84">
        <f>F74+F76+F77+F78</f>
        <v>117761.04634647802</v>
      </c>
      <c r="G79" s="84">
        <f>G74+G76+G77+G78</f>
        <v>118323.99451971707</v>
      </c>
      <c r="H79" s="84">
        <f>H74+H76+H77+H78</f>
        <v>119211.22530499485</v>
      </c>
      <c r="I79" s="60"/>
      <c r="J79" s="102"/>
      <c r="K79" s="107" t="s">
        <v>69</v>
      </c>
      <c r="L79" s="60"/>
      <c r="M79" s="84">
        <f>'Financial Projections'!D88</f>
        <v>5000</v>
      </c>
      <c r="N79" s="84">
        <f>'Financial Projections'!E88</f>
        <v>10000</v>
      </c>
      <c r="O79" s="84">
        <f>'Financial Projections'!F88</f>
        <v>26000</v>
      </c>
      <c r="P79" s="84">
        <f>'Financial Projections'!G88</f>
        <v>26000</v>
      </c>
      <c r="Q79" s="84">
        <f>'Financial Projections'!H88</f>
        <v>30000</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row>
    <row r="80" spans="2:72" x14ac:dyDescent="0.25">
      <c r="B80" s="60" t="s">
        <v>3</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row>
    <row r="81" spans="1:72" x14ac:dyDescent="0.25">
      <c r="B81" s="60" t="s">
        <v>71</v>
      </c>
      <c r="C81" s="60"/>
      <c r="D81" s="123">
        <f>P159</f>
        <v>2500</v>
      </c>
      <c r="E81" s="84">
        <f>E43</f>
        <v>5500</v>
      </c>
      <c r="F81" s="84">
        <f>F43</f>
        <v>5665</v>
      </c>
      <c r="G81" s="84">
        <f>G43</f>
        <v>5834.9500000000007</v>
      </c>
      <c r="H81" s="84">
        <f>H43</f>
        <v>6009.9985000000006</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row>
    <row r="82" spans="1:72" x14ac:dyDescent="0.25">
      <c r="B82" s="88" t="s">
        <v>103</v>
      </c>
      <c r="C82" s="60"/>
      <c r="D82" s="123">
        <f>sum_inventory_year1</f>
        <v>1000</v>
      </c>
      <c r="E82" s="84">
        <f>E102-D82</f>
        <v>375</v>
      </c>
      <c r="F82" s="84">
        <f>F102-E102</f>
        <v>41.25</v>
      </c>
      <c r="G82" s="84">
        <f>G102-F102</f>
        <v>42.487500000000182</v>
      </c>
      <c r="H82" s="84">
        <f>H102-G102</f>
        <v>43.762124999999969</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row>
    <row r="83" spans="1:72" x14ac:dyDescent="0.25">
      <c r="B83" s="60" t="s">
        <v>10</v>
      </c>
      <c r="C83" s="60"/>
      <c r="D83" s="84">
        <f>D66-D61-D63-D62-D65</f>
        <v>13784.820844150072</v>
      </c>
      <c r="E83" s="84">
        <f t="shared" ref="E83:H83" si="2">E66-E61-E63-E62-E65</f>
        <v>13820.241216314309</v>
      </c>
      <c r="F83" s="84">
        <f t="shared" si="2"/>
        <v>13261.299499612229</v>
      </c>
      <c r="G83" s="84">
        <f>G66-G61-G63-G62-G65</f>
        <v>12558.528200832659</v>
      </c>
      <c r="H83" s="84">
        <f t="shared" si="2"/>
        <v>11768.220812895546</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row>
    <row r="84" spans="1:72" hidden="1" x14ac:dyDescent="0.25">
      <c r="B84" s="60" t="s">
        <v>35</v>
      </c>
      <c r="C84" s="60"/>
      <c r="D84" s="84"/>
      <c r="E84" s="60"/>
      <c r="F84" s="60">
        <v>0</v>
      </c>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row>
    <row r="85" spans="1:72" x14ac:dyDescent="0.25">
      <c r="B85" s="60" t="s">
        <v>12</v>
      </c>
      <c r="C85" s="60"/>
      <c r="D85" s="60"/>
      <c r="E85" s="86">
        <f>D69</f>
        <v>0</v>
      </c>
      <c r="F85" s="86">
        <f>E69</f>
        <v>0</v>
      </c>
      <c r="G85" s="86">
        <f>F69</f>
        <v>833.44263796125017</v>
      </c>
      <c r="H85" s="86">
        <f>G69</f>
        <v>2403.2896801629026</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row>
    <row r="86" spans="1:72" x14ac:dyDescent="0.25">
      <c r="A86" s="65" t="s">
        <v>89</v>
      </c>
      <c r="B86" s="88" t="str">
        <f>C13</f>
        <v>ie: Janitorial Equipment</v>
      </c>
      <c r="C86" s="88"/>
      <c r="D86" s="125">
        <f>D13</f>
        <v>20000</v>
      </c>
      <c r="E86" s="86"/>
      <c r="F86" s="86"/>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row>
    <row r="87" spans="1:72" x14ac:dyDescent="0.25">
      <c r="A87" s="65" t="s">
        <v>91</v>
      </c>
      <c r="B87" s="88" t="str">
        <f>C14</f>
        <v>i.e: Vehicle</v>
      </c>
      <c r="C87" s="88"/>
      <c r="D87" s="124">
        <f>D14</f>
        <v>1000</v>
      </c>
      <c r="E87" s="86"/>
      <c r="F87" s="86"/>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row>
    <row r="88" spans="1:72" x14ac:dyDescent="0.25">
      <c r="B88" s="60" t="s">
        <v>33</v>
      </c>
      <c r="C88" s="60"/>
      <c r="D88" s="123">
        <v>5000</v>
      </c>
      <c r="E88" s="84">
        <v>10000</v>
      </c>
      <c r="F88" s="84">
        <v>26000</v>
      </c>
      <c r="G88" s="84">
        <v>26000</v>
      </c>
      <c r="H88" s="84">
        <v>30000</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row>
    <row r="89" spans="1:72" x14ac:dyDescent="0.25">
      <c r="B89" s="60" t="s">
        <v>34</v>
      </c>
      <c r="C89" s="60"/>
      <c r="D89" s="124">
        <f>Principal_Sum</f>
        <v>8113.405982610896</v>
      </c>
      <c r="E89" s="84">
        <f>IF(Loan_data&gt;1,SUM('Loan Amortization Schedule'!E26:E37),0)</f>
        <v>8962.9856104466562</v>
      </c>
      <c r="F89" s="84">
        <f>IF(Loan_data&gt;1,SUM('Loan Amortization Schedule'!E38:E49),0)</f>
        <v>9901.5273271487331</v>
      </c>
      <c r="G89" s="84">
        <f>IF(Loan_data&gt;1,SUM('Loan Amortization Schedule'!E50:E61),0)</f>
        <v>10938.346625928305</v>
      </c>
      <c r="H89" s="84">
        <f>IF(Loan_data&gt;1,SUM('Loan Amortization Schedule'!E62:E73),0)</f>
        <v>12083.734453865423</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row>
    <row r="90" spans="1:72" x14ac:dyDescent="0.25">
      <c r="B90" s="60" t="s">
        <v>14</v>
      </c>
      <c r="C90" s="60"/>
      <c r="D90" s="111">
        <f>D81+D83+D86+D88+D89+D85+D87+D82</f>
        <v>51398.226826760969</v>
      </c>
      <c r="E90" s="111">
        <f>E81+E83+E86+E88+E89+E85+E82</f>
        <v>38658.226826760962</v>
      </c>
      <c r="F90" s="111">
        <f>F81+F83+F86+F88+F89+F85+F82</f>
        <v>54869.07682676096</v>
      </c>
      <c r="G90" s="111">
        <f>G81+G83+G86+G88+G89+G85+G82</f>
        <v>56207.754964722211</v>
      </c>
      <c r="H90" s="111">
        <f>H81+H83+H86+H88+H89+H85+H82</f>
        <v>62309.005571923874</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row>
    <row r="91" spans="1:72" ht="13.8" thickBot="1" x14ac:dyDescent="0.3">
      <c r="B91" s="200" t="s">
        <v>13</v>
      </c>
      <c r="C91" s="200"/>
      <c r="D91" s="127">
        <f>D79-D90</f>
        <v>50351.773173239031</v>
      </c>
      <c r="E91" s="112">
        <f>E79-E90</f>
        <v>63943.546346478048</v>
      </c>
      <c r="F91" s="112">
        <f>F79-F90</f>
        <v>62891.969519717059</v>
      </c>
      <c r="G91" s="112">
        <f>G79-G90</f>
        <v>62116.239554994863</v>
      </c>
      <c r="H91" s="112">
        <f>H79-H90</f>
        <v>56902.219733070975</v>
      </c>
      <c r="I91" s="60"/>
      <c r="J91" s="201"/>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row>
    <row r="92" spans="1:72" ht="13.8" thickTop="1" x14ac:dyDescent="0.25">
      <c r="B92" s="60"/>
      <c r="C92" s="60"/>
      <c r="D92" s="60"/>
      <c r="E92" s="60"/>
      <c r="F92" s="60"/>
      <c r="G92" s="60"/>
      <c r="H92" s="60"/>
      <c r="I92" s="60"/>
      <c r="J92" s="60"/>
      <c r="K92" s="84"/>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row>
    <row r="93" spans="1:72" hidden="1" x14ac:dyDescent="0.25">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row>
    <row r="94" spans="1:72" x14ac:dyDescent="0.25">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row>
    <row r="95" spans="1:72" x14ac:dyDescent="0.25">
      <c r="B95" s="81" t="s">
        <v>15</v>
      </c>
      <c r="C95" s="81"/>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row>
    <row r="96" spans="1:72" x14ac:dyDescent="0.25">
      <c r="B96" s="81" t="s">
        <v>82</v>
      </c>
      <c r="C96" s="81"/>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row>
    <row r="97" spans="1:72" x14ac:dyDescent="0.25">
      <c r="B97" s="81" t="str">
        <f>C2</f>
        <v>XXX</v>
      </c>
      <c r="C97" s="81"/>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row>
    <row r="98" spans="1:72" hidden="1" x14ac:dyDescent="0.25">
      <c r="B98" s="60"/>
      <c r="C98" s="60"/>
      <c r="D98" s="82">
        <f>D73</f>
        <v>2022</v>
      </c>
      <c r="E98" s="82">
        <f>E73</f>
        <v>2023</v>
      </c>
      <c r="F98" s="82">
        <f>F73</f>
        <v>2024</v>
      </c>
      <c r="G98" s="82">
        <f>G73</f>
        <v>2025</v>
      </c>
      <c r="H98" s="82">
        <f>H73</f>
        <v>2026</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row>
    <row r="99" spans="1:72" x14ac:dyDescent="0.25">
      <c r="B99" s="81" t="s">
        <v>16</v>
      </c>
      <c r="C99" s="81"/>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row>
    <row r="100" spans="1:72" x14ac:dyDescent="0.25">
      <c r="B100" s="60" t="s">
        <v>17</v>
      </c>
      <c r="C100" s="60"/>
      <c r="D100" s="84">
        <f>D91</f>
        <v>50351.773173239031</v>
      </c>
      <c r="E100" s="84">
        <f>E91</f>
        <v>63943.546346478048</v>
      </c>
      <c r="F100" s="84">
        <f>F91</f>
        <v>62891.969519717059</v>
      </c>
      <c r="G100" s="84">
        <f>G91</f>
        <v>62116.239554994863</v>
      </c>
      <c r="H100" s="84">
        <f>H91</f>
        <v>56902.219733070975</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row>
    <row r="101" spans="1:72" x14ac:dyDescent="0.25">
      <c r="A101" s="78"/>
      <c r="B101" s="109" t="s">
        <v>18</v>
      </c>
      <c r="C101" s="109"/>
      <c r="D101" s="90">
        <f>P206+P207+Q207</f>
        <v>0</v>
      </c>
      <c r="E101" s="90">
        <f>'Financial Projections'!AB206+'Financial Projections'!AB207+'Financial Projections'!AC207</f>
        <v>0</v>
      </c>
      <c r="F101" s="90">
        <f>AN206+AN207+AO207</f>
        <v>0</v>
      </c>
      <c r="G101" s="90">
        <f>AZ206+AZ207+BA207</f>
        <v>0</v>
      </c>
      <c r="H101" s="90">
        <f>BL206+BL207+BM207</f>
        <v>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row>
    <row r="102" spans="1:72" x14ac:dyDescent="0.25">
      <c r="B102" s="88" t="s">
        <v>102</v>
      </c>
      <c r="C102" s="60"/>
      <c r="D102" s="113">
        <f>sum_inventory_year1</f>
        <v>1000</v>
      </c>
      <c r="E102" s="104">
        <f>E41*$D$24*0.25</f>
        <v>1375</v>
      </c>
      <c r="F102" s="104">
        <f>F41*$D$24*0.25</f>
        <v>1416.25</v>
      </c>
      <c r="G102" s="104">
        <f>G41*$D$24*0.25</f>
        <v>1458.7375000000002</v>
      </c>
      <c r="H102" s="104">
        <f>H41*$D$24*0.25</f>
        <v>1502.4996250000002</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row>
    <row r="103" spans="1:72" x14ac:dyDescent="0.25">
      <c r="B103" s="60" t="s">
        <v>27</v>
      </c>
      <c r="C103" s="60"/>
      <c r="D103" s="84">
        <f>D100+D102+D101</f>
        <v>51351.773173239031</v>
      </c>
      <c r="E103" s="84">
        <f>E100+E102+E101</f>
        <v>65318.546346478048</v>
      </c>
      <c r="F103" s="84">
        <f>F100+F102+F101</f>
        <v>64308.219519717059</v>
      </c>
      <c r="G103" s="84">
        <f>G100+G102+G101</f>
        <v>63574.977054994866</v>
      </c>
      <c r="H103" s="84">
        <f>H100+H102+H101</f>
        <v>58404.719358070972</v>
      </c>
      <c r="I103" s="60"/>
      <c r="J103" s="60"/>
      <c r="K103" s="202"/>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row>
    <row r="104" spans="1:72" x14ac:dyDescent="0.25">
      <c r="B104" s="60"/>
      <c r="C104" s="60"/>
      <c r="D104" s="60"/>
      <c r="E104" s="60"/>
      <c r="F104" s="60"/>
      <c r="G104" s="60"/>
      <c r="H104" s="60"/>
      <c r="I104" s="60"/>
      <c r="J104" s="60"/>
      <c r="K104" s="84"/>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row>
    <row r="105" spans="1:72" x14ac:dyDescent="0.25">
      <c r="B105" s="81" t="s">
        <v>20</v>
      </c>
      <c r="C105" s="81"/>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row>
    <row r="106" spans="1:72" x14ac:dyDescent="0.25">
      <c r="B106" s="88" t="s">
        <v>159</v>
      </c>
      <c r="C106" s="88"/>
      <c r="D106" s="84">
        <f>asset3</f>
        <v>100000</v>
      </c>
      <c r="E106" s="84">
        <f t="shared" ref="E106:H108" si="3">D106</f>
        <v>100000</v>
      </c>
      <c r="F106" s="84">
        <f t="shared" si="3"/>
        <v>100000</v>
      </c>
      <c r="G106" s="84">
        <f t="shared" si="3"/>
        <v>100000</v>
      </c>
      <c r="H106" s="84">
        <f t="shared" si="3"/>
        <v>100000</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row>
    <row r="107" spans="1:72" x14ac:dyDescent="0.25">
      <c r="A107" s="65" t="s">
        <v>89</v>
      </c>
      <c r="B107" s="88" t="str">
        <f>C13</f>
        <v>ie: Janitorial Equipment</v>
      </c>
      <c r="C107" s="88"/>
      <c r="D107" s="84">
        <f>D13</f>
        <v>20000</v>
      </c>
      <c r="E107" s="84">
        <f t="shared" si="3"/>
        <v>20000</v>
      </c>
      <c r="F107" s="84">
        <f t="shared" si="3"/>
        <v>20000</v>
      </c>
      <c r="G107" s="84">
        <f t="shared" si="3"/>
        <v>20000</v>
      </c>
      <c r="H107" s="84">
        <f t="shared" si="3"/>
        <v>20000</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row>
    <row r="108" spans="1:72" x14ac:dyDescent="0.25">
      <c r="A108" s="65" t="s">
        <v>91</v>
      </c>
      <c r="B108" s="88" t="str">
        <f>C14</f>
        <v>i.e: Vehicle</v>
      </c>
      <c r="C108" s="88"/>
      <c r="D108" s="84">
        <f>D14</f>
        <v>1000</v>
      </c>
      <c r="E108" s="84">
        <f t="shared" si="3"/>
        <v>1000</v>
      </c>
      <c r="F108" s="84">
        <f t="shared" si="3"/>
        <v>1000</v>
      </c>
      <c r="G108" s="84">
        <f t="shared" si="3"/>
        <v>1000</v>
      </c>
      <c r="H108" s="84">
        <f t="shared" si="3"/>
        <v>1000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row>
    <row r="109" spans="1:72" x14ac:dyDescent="0.25">
      <c r="B109" s="88" t="s">
        <v>83</v>
      </c>
      <c r="C109" s="88"/>
      <c r="D109" s="89">
        <f>D61+D63+D62</f>
        <v>17150</v>
      </c>
      <c r="E109" s="89">
        <f>E61+E63+E62+D109</f>
        <v>46505</v>
      </c>
      <c r="F109" s="89">
        <f>F61+F63+E109+F62</f>
        <v>67413.5</v>
      </c>
      <c r="G109" s="89">
        <f>G61+G63+F109+G62</f>
        <v>82382.45</v>
      </c>
      <c r="H109" s="89">
        <f>H61+H63+G109+H62</f>
        <v>102167.61499999999</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row>
    <row r="110" spans="1:72" s="78" customFormat="1" x14ac:dyDescent="0.25">
      <c r="A110" s="59"/>
      <c r="B110" s="81" t="s">
        <v>21</v>
      </c>
      <c r="C110" s="81"/>
      <c r="D110" s="84">
        <f>D106+D107-D109+D108</f>
        <v>103850</v>
      </c>
      <c r="E110" s="84">
        <f>E106+E107-E109+E108</f>
        <v>74495</v>
      </c>
      <c r="F110" s="84">
        <f>F106+F107-F109+F108</f>
        <v>53586.5</v>
      </c>
      <c r="G110" s="84">
        <f>G106+G107-G109+G108</f>
        <v>38617.550000000003</v>
      </c>
      <c r="H110" s="84">
        <f>H106+H107-H109+H108</f>
        <v>18832.385000000009</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row>
    <row r="111" spans="1:72" x14ac:dyDescent="0.25">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row>
    <row r="112" spans="1:72" x14ac:dyDescent="0.25">
      <c r="B112" s="203" t="s">
        <v>19</v>
      </c>
      <c r="C112" s="203"/>
      <c r="D112" s="114">
        <f>D103+D110</f>
        <v>155201.77317323902</v>
      </c>
      <c r="E112" s="114">
        <f>E103+E110</f>
        <v>139813.54634647805</v>
      </c>
      <c r="F112" s="114">
        <f>F103+F110</f>
        <v>117894.71951971707</v>
      </c>
      <c r="G112" s="114">
        <f>G103+G110</f>
        <v>102192.52705499486</v>
      </c>
      <c r="H112" s="114">
        <f>H103+H110</f>
        <v>77237.104358070981</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row>
    <row r="113" spans="2:72" x14ac:dyDescent="0.25">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row>
    <row r="114" spans="2:72" x14ac:dyDescent="0.25">
      <c r="B114" s="81" t="s">
        <v>22</v>
      </c>
      <c r="C114" s="81"/>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row>
    <row r="115" spans="2:72" x14ac:dyDescent="0.25">
      <c r="B115" s="60" t="s">
        <v>23</v>
      </c>
      <c r="C115" s="60"/>
      <c r="D115" s="86">
        <f>D69</f>
        <v>0</v>
      </c>
      <c r="E115" s="86">
        <f>E69</f>
        <v>0</v>
      </c>
      <c r="F115" s="86">
        <f>F69</f>
        <v>833.44263796125017</v>
      </c>
      <c r="G115" s="86">
        <f>G69</f>
        <v>2403.2896801629026</v>
      </c>
      <c r="H115" s="86">
        <f>H69</f>
        <v>1768.2011438891061</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row>
    <row r="116" spans="2:72" x14ac:dyDescent="0.25">
      <c r="B116" s="60" t="s">
        <v>29</v>
      </c>
      <c r="C116" s="60"/>
      <c r="D116" s="89">
        <f>E89</f>
        <v>8962.9856104466562</v>
      </c>
      <c r="E116" s="89">
        <f>F89</f>
        <v>9901.5273271487331</v>
      </c>
      <c r="F116" s="89">
        <f>G89</f>
        <v>10938.346625928305</v>
      </c>
      <c r="G116" s="89">
        <f>H89</f>
        <v>12083.734453865423</v>
      </c>
      <c r="H116" s="89"/>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row>
    <row r="117" spans="2:72" x14ac:dyDescent="0.25">
      <c r="B117" s="60" t="s">
        <v>97</v>
      </c>
      <c r="C117" s="60"/>
      <c r="D117" s="84">
        <f>D115+D116</f>
        <v>8962.9856104466562</v>
      </c>
      <c r="E117" s="84">
        <f>E115+E116</f>
        <v>9901.5273271487331</v>
      </c>
      <c r="F117" s="84">
        <f>F115+F116</f>
        <v>11771.789263889556</v>
      </c>
      <c r="G117" s="84">
        <f>G115+G116</f>
        <v>14487.024134028326</v>
      </c>
      <c r="H117" s="84">
        <f>H115+H116</f>
        <v>1768.2011438891061</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row>
    <row r="118" spans="2:72" x14ac:dyDescent="0.25">
      <c r="B118" s="60"/>
      <c r="C118" s="60"/>
      <c r="D118" s="84"/>
      <c r="E118" s="84"/>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row>
    <row r="119" spans="2:72" x14ac:dyDescent="0.25">
      <c r="B119" s="81" t="s">
        <v>30</v>
      </c>
      <c r="C119" s="81"/>
      <c r="D119" s="84"/>
      <c r="E119" s="84"/>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row>
    <row r="120" spans="2:72" x14ac:dyDescent="0.25">
      <c r="B120" s="60" t="s">
        <v>31</v>
      </c>
      <c r="C120" s="60"/>
      <c r="D120" s="84">
        <f>Loan_data-D89-D116</f>
        <v>32923.608406942454</v>
      </c>
      <c r="E120" s="84">
        <f>D120-E116</f>
        <v>23022.081079793723</v>
      </c>
      <c r="F120" s="84">
        <f>E120-F116</f>
        <v>12083.734453865418</v>
      </c>
      <c r="G120" s="84">
        <f>F120-G116</f>
        <v>0</v>
      </c>
      <c r="H120" s="84">
        <f>G120-H116</f>
        <v>0</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row>
    <row r="121" spans="2:72" x14ac:dyDescent="0.25">
      <c r="B121" s="88" t="s">
        <v>84</v>
      </c>
      <c r="C121" s="88"/>
      <c r="D121" s="84">
        <f>IF(Contribution-D42&lt;0,0,Contribution-D42)</f>
        <v>18338.095238095237</v>
      </c>
      <c r="E121" s="84">
        <f>IF(Contribution-D42-E42&lt;0,0,Contribution-D42-E42)</f>
        <v>14583.151927437641</v>
      </c>
      <c r="F121" s="84">
        <f>IF(Contribution-D42-SUM(E42:F42)&lt;0,0,Contribution-SUM(D42:F42))</f>
        <v>11597.077961343268</v>
      </c>
      <c r="G121" s="84">
        <f>IF(Contribution-D42-SUM(E42:G42)&lt;0,0,Contribution-SUM(D42:G42))</f>
        <v>9222.4381883063143</v>
      </c>
      <c r="H121" s="84">
        <f>IF(Contribution-D42-SUM(E42:H42)&lt;0,0,Contribution-SUM(D42:H42))</f>
        <v>7334.0341783197837</v>
      </c>
      <c r="I121" s="60"/>
      <c r="J121" s="81"/>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row>
    <row r="122" spans="2:72" x14ac:dyDescent="0.25">
      <c r="B122" s="81" t="s">
        <v>24</v>
      </c>
      <c r="C122" s="81"/>
      <c r="D122" s="84">
        <f>D115+D116+D120+D121</f>
        <v>60224.689255484351</v>
      </c>
      <c r="E122" s="84">
        <f>E115+E116+E120+E121</f>
        <v>47506.760334380095</v>
      </c>
      <c r="F122" s="84">
        <f>F115+F116+F120+F121</f>
        <v>35452.601679098239</v>
      </c>
      <c r="G122" s="84">
        <f>G115+G116+G120+G121</f>
        <v>23709.462322334643</v>
      </c>
      <c r="H122" s="84">
        <f>H115+H116+H120+H121</f>
        <v>9102.2353222088896</v>
      </c>
      <c r="I122" s="60"/>
      <c r="J122" s="60"/>
      <c r="K122" s="60"/>
      <c r="L122" s="92"/>
      <c r="M122" s="92"/>
      <c r="N122" s="92"/>
      <c r="O122" s="92"/>
      <c r="P122" s="92"/>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row>
    <row r="123" spans="2:72" x14ac:dyDescent="0.25">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row>
    <row r="124" spans="2:72" x14ac:dyDescent="0.25">
      <c r="B124" s="81" t="s">
        <v>25</v>
      </c>
      <c r="C124" s="81"/>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row>
    <row r="125" spans="2:72" x14ac:dyDescent="0.25">
      <c r="B125" s="60" t="s">
        <v>54</v>
      </c>
      <c r="C125" s="60"/>
      <c r="D125" s="84">
        <f>D74+D106</f>
        <v>102000</v>
      </c>
      <c r="E125" s="84">
        <f>D125</f>
        <v>102000</v>
      </c>
      <c r="F125" s="84">
        <f>E125</f>
        <v>102000</v>
      </c>
      <c r="G125" s="84">
        <f>F125</f>
        <v>102000</v>
      </c>
      <c r="H125" s="84">
        <f>G125</f>
        <v>102000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row>
    <row r="126" spans="2:72" x14ac:dyDescent="0.25">
      <c r="B126" s="60" t="s">
        <v>36</v>
      </c>
      <c r="C126" s="60"/>
      <c r="D126" s="84">
        <f>D71</f>
        <v>-2022.9160822453086</v>
      </c>
      <c r="E126" s="84">
        <f>D126-D127+E71</f>
        <v>306.78601209797853</v>
      </c>
      <c r="F126" s="84">
        <f>E126-E127+F71</f>
        <v>6442.1178406188719</v>
      </c>
      <c r="G126" s="84">
        <f>F126-F127+G71</f>
        <v>2483.0647326602666</v>
      </c>
      <c r="H126" s="84">
        <f>G126-G127+H71</f>
        <v>-3865.1309641378575</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row>
    <row r="127" spans="2:72" x14ac:dyDescent="0.25">
      <c r="B127" s="60" t="s">
        <v>32</v>
      </c>
      <c r="C127" s="60"/>
      <c r="D127" s="84">
        <f>P175</f>
        <v>5000</v>
      </c>
      <c r="E127" s="84">
        <f>E88</f>
        <v>10000</v>
      </c>
      <c r="F127" s="84">
        <f>F88</f>
        <v>26000</v>
      </c>
      <c r="G127" s="84">
        <f>G88</f>
        <v>26000</v>
      </c>
      <c r="H127" s="84">
        <f>H88</f>
        <v>30000</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row>
    <row r="128" spans="2:72" x14ac:dyDescent="0.25">
      <c r="B128" s="81" t="s">
        <v>37</v>
      </c>
      <c r="C128" s="81"/>
      <c r="D128" s="84">
        <f>D125+D126-D127</f>
        <v>94977.083917754688</v>
      </c>
      <c r="E128" s="84">
        <f>E125+E126-E127</f>
        <v>92306.786012097975</v>
      </c>
      <c r="F128" s="84">
        <f>F125+F126-F127</f>
        <v>82442.11784061887</v>
      </c>
      <c r="G128" s="84">
        <f>G125+G126-G127</f>
        <v>78483.064732660263</v>
      </c>
      <c r="H128" s="84">
        <f>H125+H126-H127</f>
        <v>68134.869035862139</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row>
    <row r="129" spans="2:72" x14ac:dyDescent="0.25">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row>
    <row r="130" spans="2:72" ht="13.8" thickBot="1" x14ac:dyDescent="0.3">
      <c r="B130" s="203" t="s">
        <v>26</v>
      </c>
      <c r="C130" s="203"/>
      <c r="D130" s="115">
        <f>D122+D128</f>
        <v>155201.77317323902</v>
      </c>
      <c r="E130" s="115">
        <f>E122+E128</f>
        <v>139813.54634647808</v>
      </c>
      <c r="F130" s="115">
        <f>F122+F128</f>
        <v>117894.71951971711</v>
      </c>
      <c r="G130" s="115">
        <f>G122+G128</f>
        <v>102192.52705499491</v>
      </c>
      <c r="H130" s="115">
        <f>H122+H128</f>
        <v>77237.104358071025</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row>
    <row r="131" spans="2:72" ht="13.8" thickTop="1" x14ac:dyDescent="0.25">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row>
    <row r="132" spans="2:72" x14ac:dyDescent="0.25">
      <c r="B132" s="60"/>
      <c r="C132" s="60"/>
      <c r="D132" s="84">
        <f>D130-D112</f>
        <v>0</v>
      </c>
      <c r="E132" s="84">
        <f>E130-E112</f>
        <v>0</v>
      </c>
      <c r="F132" s="84">
        <f>F130-F112</f>
        <v>0</v>
      </c>
      <c r="G132" s="84">
        <f>G130-G112</f>
        <v>0</v>
      </c>
      <c r="H132" s="84">
        <f>H130-H112</f>
        <v>0</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row>
    <row r="133" spans="2:72" hidden="1" x14ac:dyDescent="0.25">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row>
    <row r="134" spans="2:72" x14ac:dyDescent="0.25">
      <c r="B134" s="60"/>
      <c r="C134" s="60"/>
      <c r="D134" s="84"/>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row>
    <row r="135" spans="2:72" x14ac:dyDescent="0.25">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row>
    <row r="136" spans="2:72" x14ac:dyDescent="0.25">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row>
    <row r="137" spans="2:72" x14ac:dyDescent="0.25">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row>
    <row r="138" spans="2:72" x14ac:dyDescent="0.25">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row>
    <row r="139" spans="2:72" x14ac:dyDescent="0.25">
      <c r="B139" s="81" t="s">
        <v>144</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row>
    <row r="140" spans="2:72" x14ac:dyDescent="0.25">
      <c r="B140" s="88"/>
      <c r="C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row>
    <row r="141" spans="2:72" x14ac:dyDescent="0.25">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row>
    <row r="142" spans="2:72" ht="15.6" x14ac:dyDescent="0.3">
      <c r="B142" s="60"/>
      <c r="C142" s="116" t="s">
        <v>105</v>
      </c>
      <c r="D142" s="220" t="s">
        <v>178</v>
      </c>
      <c r="E142" s="220" t="s">
        <v>179</v>
      </c>
      <c r="F142" s="220" t="s">
        <v>180</v>
      </c>
      <c r="G142" s="220" t="s">
        <v>181</v>
      </c>
      <c r="H142" s="220" t="s">
        <v>182</v>
      </c>
      <c r="I142" s="220" t="s">
        <v>183</v>
      </c>
      <c r="J142" s="220" t="s">
        <v>184</v>
      </c>
      <c r="K142" s="220" t="s">
        <v>185</v>
      </c>
      <c r="L142" s="220" t="s">
        <v>186</v>
      </c>
      <c r="M142" s="220" t="s">
        <v>187</v>
      </c>
      <c r="N142" s="220" t="s">
        <v>188</v>
      </c>
      <c r="O142" s="220" t="s">
        <v>189</v>
      </c>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row>
    <row r="143" spans="2:72" ht="15.6" x14ac:dyDescent="0.3">
      <c r="B143" s="60"/>
      <c r="C143" s="130"/>
      <c r="D143" s="130"/>
      <c r="E143" s="130"/>
      <c r="F143" s="130"/>
      <c r="G143" s="130"/>
      <c r="H143" s="130"/>
      <c r="I143" s="130"/>
      <c r="J143" s="130"/>
      <c r="K143" s="130"/>
      <c r="L143" s="130"/>
      <c r="M143" s="130"/>
      <c r="N143" s="130"/>
      <c r="O143" s="13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row>
    <row r="144" spans="2:72" ht="15.6" x14ac:dyDescent="0.3">
      <c r="B144" s="204" t="s">
        <v>0</v>
      </c>
      <c r="C144" s="213"/>
      <c r="D144" s="213">
        <v>5000</v>
      </c>
      <c r="E144" s="213"/>
      <c r="F144" s="213"/>
      <c r="G144" s="214"/>
      <c r="H144" s="214">
        <v>2500</v>
      </c>
      <c r="I144" s="214">
        <v>2500</v>
      </c>
      <c r="J144" s="214">
        <v>2500</v>
      </c>
      <c r="K144" s="214">
        <v>2500</v>
      </c>
      <c r="L144" s="214">
        <v>2500</v>
      </c>
      <c r="M144" s="214">
        <v>2500</v>
      </c>
      <c r="N144" s="214">
        <v>2500</v>
      </c>
      <c r="O144" s="214">
        <v>2500</v>
      </c>
      <c r="P144" s="128">
        <f>SUM(Cash_flow_sales)</f>
        <v>25000</v>
      </c>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row>
    <row r="145" spans="2:72" ht="15" x14ac:dyDescent="0.25">
      <c r="B145" s="88"/>
      <c r="C145" s="129"/>
      <c r="D145" s="129"/>
      <c r="E145" s="129"/>
      <c r="F145" s="129"/>
      <c r="G145" s="129"/>
      <c r="H145" s="129"/>
      <c r="I145" s="129"/>
      <c r="J145" s="129"/>
      <c r="K145" s="129"/>
      <c r="L145" s="129"/>
      <c r="M145" s="129"/>
      <c r="N145" s="129"/>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row>
    <row r="146" spans="2:72" ht="15.6" x14ac:dyDescent="0.3">
      <c r="B146" s="204" t="s">
        <v>2</v>
      </c>
      <c r="C146" s="60"/>
      <c r="D146" s="60"/>
      <c r="E146" s="60"/>
      <c r="F146" s="60"/>
      <c r="G146" s="60"/>
      <c r="H146" s="60"/>
      <c r="I146" s="60"/>
      <c r="J146" s="60"/>
      <c r="K146" s="60"/>
      <c r="L146" s="60"/>
      <c r="M146" s="60"/>
      <c r="N146" s="60"/>
      <c r="O146" s="60"/>
      <c r="P146" s="13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row>
    <row r="147" spans="2:72" ht="15" x14ac:dyDescent="0.25">
      <c r="B147" s="129" t="s">
        <v>110</v>
      </c>
      <c r="C147" s="117"/>
      <c r="D147" s="117">
        <f t="shared" ref="D147:O147" si="4">D209</f>
        <v>4750</v>
      </c>
      <c r="E147" s="117">
        <f t="shared" si="4"/>
        <v>0</v>
      </c>
      <c r="F147" s="117">
        <f t="shared" si="4"/>
        <v>0</v>
      </c>
      <c r="G147" s="117">
        <f t="shared" si="4"/>
        <v>0</v>
      </c>
      <c r="H147" s="117">
        <f t="shared" si="4"/>
        <v>2375</v>
      </c>
      <c r="I147" s="117">
        <f>I209</f>
        <v>2375</v>
      </c>
      <c r="J147" s="117">
        <f t="shared" si="4"/>
        <v>2375</v>
      </c>
      <c r="K147" s="117">
        <f t="shared" si="4"/>
        <v>2375</v>
      </c>
      <c r="L147" s="117">
        <f t="shared" si="4"/>
        <v>2375</v>
      </c>
      <c r="M147" s="117">
        <f t="shared" si="4"/>
        <v>2375</v>
      </c>
      <c r="N147" s="117">
        <f t="shared" si="4"/>
        <v>2375</v>
      </c>
      <c r="O147" s="117">
        <f t="shared" si="4"/>
        <v>2375</v>
      </c>
      <c r="P147" s="131">
        <f>SUM(Cash_Receipts)</f>
        <v>23750</v>
      </c>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row>
    <row r="148" spans="2:72" ht="15" x14ac:dyDescent="0.25">
      <c r="B148" s="129" t="s">
        <v>109</v>
      </c>
      <c r="C148" s="118">
        <f>Contribution</f>
        <v>26000</v>
      </c>
      <c r="D148" s="117"/>
      <c r="E148" s="117"/>
      <c r="F148" s="117"/>
      <c r="G148" s="117"/>
      <c r="H148" s="117"/>
      <c r="I148" s="117"/>
      <c r="J148" s="117"/>
      <c r="K148" s="117"/>
      <c r="L148" s="117"/>
      <c r="M148" s="117"/>
      <c r="N148" s="117"/>
      <c r="O148" s="117"/>
      <c r="P148" s="131">
        <f t="shared" ref="P148:P155" si="5">SUM(C148:O148)</f>
        <v>26000</v>
      </c>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row>
    <row r="149" spans="2:72" ht="15" x14ac:dyDescent="0.25">
      <c r="B149" s="129" t="str">
        <f>B28</f>
        <v>Start up Cash (Equity)</v>
      </c>
      <c r="C149" s="118">
        <f>startup_cash</f>
        <v>2000</v>
      </c>
      <c r="D149" s="117"/>
      <c r="E149" s="117"/>
      <c r="F149" s="117"/>
      <c r="G149" s="117"/>
      <c r="H149" s="117"/>
      <c r="I149" s="117"/>
      <c r="J149" s="117"/>
      <c r="K149" s="117"/>
      <c r="L149" s="117"/>
      <c r="M149" s="117"/>
      <c r="N149" s="117"/>
      <c r="O149" s="117"/>
      <c r="P149" s="131">
        <f t="shared" si="5"/>
        <v>2000</v>
      </c>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row>
    <row r="150" spans="2:72" ht="15" x14ac:dyDescent="0.25">
      <c r="B150" s="129" t="s">
        <v>115</v>
      </c>
      <c r="C150" s="122">
        <f>Loan_data</f>
        <v>50000</v>
      </c>
      <c r="D150" s="117"/>
      <c r="E150" s="117"/>
      <c r="F150" s="117"/>
      <c r="G150" s="117"/>
      <c r="H150" s="117"/>
      <c r="I150" s="117"/>
      <c r="J150" s="117"/>
      <c r="K150" s="117"/>
      <c r="L150" s="117"/>
      <c r="M150" s="117"/>
      <c r="N150" s="117"/>
      <c r="O150" s="117"/>
      <c r="P150" s="131">
        <f t="shared" si="5"/>
        <v>50000</v>
      </c>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row>
    <row r="151" spans="2:72" ht="15.6" thickBot="1" x14ac:dyDescent="0.3">
      <c r="B151" s="129" t="s">
        <v>107</v>
      </c>
      <c r="C151" s="189">
        <f>SUM(C147:C150)</f>
        <v>78000</v>
      </c>
      <c r="D151" s="189">
        <f t="shared" ref="D151:O151" si="6">SUM(D147:D149)</f>
        <v>4750</v>
      </c>
      <c r="E151" s="189">
        <f t="shared" si="6"/>
        <v>0</v>
      </c>
      <c r="F151" s="189">
        <f t="shared" si="6"/>
        <v>0</v>
      </c>
      <c r="G151" s="189">
        <f t="shared" si="6"/>
        <v>0</v>
      </c>
      <c r="H151" s="189">
        <f t="shared" si="6"/>
        <v>2375</v>
      </c>
      <c r="I151" s="189">
        <f t="shared" si="6"/>
        <v>2375</v>
      </c>
      <c r="J151" s="189">
        <f t="shared" si="6"/>
        <v>2375</v>
      </c>
      <c r="K151" s="189">
        <f t="shared" si="6"/>
        <v>2375</v>
      </c>
      <c r="L151" s="189">
        <f t="shared" si="6"/>
        <v>2375</v>
      </c>
      <c r="M151" s="189">
        <f t="shared" si="6"/>
        <v>2375</v>
      </c>
      <c r="N151" s="189">
        <f t="shared" si="6"/>
        <v>2375</v>
      </c>
      <c r="O151" s="189">
        <f t="shared" si="6"/>
        <v>2375</v>
      </c>
      <c r="P151" s="117">
        <f>SUM(C151:O151)</f>
        <v>101750</v>
      </c>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row>
    <row r="152" spans="2:72" ht="15" x14ac:dyDescent="0.25">
      <c r="B152" s="129"/>
      <c r="C152" s="117"/>
      <c r="D152" s="117"/>
      <c r="E152" s="117"/>
      <c r="F152" s="117"/>
      <c r="G152" s="117"/>
      <c r="H152" s="117"/>
      <c r="I152" s="117"/>
      <c r="J152" s="117"/>
      <c r="K152" s="117"/>
      <c r="L152" s="117"/>
      <c r="M152" s="117"/>
      <c r="N152" s="117"/>
      <c r="O152" s="117"/>
      <c r="P152" s="117">
        <f t="shared" si="5"/>
        <v>0</v>
      </c>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row>
    <row r="153" spans="2:72" ht="15.6" x14ac:dyDescent="0.3">
      <c r="B153" s="204" t="s">
        <v>108</v>
      </c>
      <c r="C153" s="117"/>
      <c r="D153" s="117"/>
      <c r="E153" s="117"/>
      <c r="F153" s="117"/>
      <c r="G153" s="117"/>
      <c r="H153" s="117"/>
      <c r="I153" s="117"/>
      <c r="J153" s="117"/>
      <c r="K153" s="117"/>
      <c r="L153" s="117"/>
      <c r="M153" s="117"/>
      <c r="N153" s="117"/>
      <c r="O153" s="117"/>
      <c r="P153" s="117">
        <f t="shared" si="5"/>
        <v>0</v>
      </c>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row>
    <row r="154" spans="2:72" ht="15.6" x14ac:dyDescent="0.3">
      <c r="B154" s="204"/>
      <c r="C154" s="117"/>
      <c r="D154" s="117"/>
      <c r="E154" s="117"/>
      <c r="F154" s="117"/>
      <c r="G154" s="117"/>
      <c r="H154" s="117"/>
      <c r="I154" s="117"/>
      <c r="J154" s="117"/>
      <c r="K154" s="117"/>
      <c r="L154" s="117"/>
      <c r="M154" s="117"/>
      <c r="N154" s="117"/>
      <c r="O154" s="117"/>
      <c r="P154" s="117"/>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row>
    <row r="155" spans="2:72" ht="15.6" x14ac:dyDescent="0.3">
      <c r="B155" s="204" t="s">
        <v>148</v>
      </c>
      <c r="C155" s="117"/>
      <c r="D155" s="117"/>
      <c r="E155" s="117"/>
      <c r="F155" s="117"/>
      <c r="G155" s="117"/>
      <c r="H155" s="117"/>
      <c r="I155" s="117"/>
      <c r="J155" s="117"/>
      <c r="K155" s="117"/>
      <c r="L155" s="117"/>
      <c r="M155" s="117"/>
      <c r="N155" s="117"/>
      <c r="O155" s="117"/>
      <c r="P155" s="117">
        <f t="shared" si="5"/>
        <v>0</v>
      </c>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row>
    <row r="156" spans="2:72" ht="15" x14ac:dyDescent="0.25">
      <c r="B156" s="129" t="str">
        <f>B61</f>
        <v>ie: Janitorial Equipment</v>
      </c>
      <c r="C156" s="119">
        <f>D13</f>
        <v>20000</v>
      </c>
      <c r="D156" s="79"/>
      <c r="E156" s="79"/>
      <c r="F156" s="79"/>
      <c r="G156" s="79"/>
      <c r="H156" s="79"/>
      <c r="I156" s="79"/>
      <c r="J156" s="79"/>
      <c r="K156" s="79"/>
      <c r="L156" s="79"/>
      <c r="M156" s="79"/>
      <c r="N156" s="79"/>
      <c r="O156" s="79"/>
      <c r="P156" s="131">
        <f>SUM(C156:O156)</f>
        <v>20000</v>
      </c>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row>
    <row r="157" spans="2:72" ht="15" x14ac:dyDescent="0.25">
      <c r="B157" s="205" t="str">
        <f>B108</f>
        <v>i.e: Vehicle</v>
      </c>
      <c r="C157" s="119">
        <f>D14</f>
        <v>1000</v>
      </c>
      <c r="D157" s="79"/>
      <c r="E157" s="79"/>
      <c r="F157" s="79"/>
      <c r="G157" s="79"/>
      <c r="H157" s="79"/>
      <c r="I157" s="79"/>
      <c r="J157" s="79"/>
      <c r="K157" s="79"/>
      <c r="L157" s="79"/>
      <c r="M157" s="79"/>
      <c r="N157" s="79"/>
      <c r="O157" s="79"/>
      <c r="P157" s="131">
        <f t="shared" ref="P157:P177" si="7">SUM(C157:O157)</f>
        <v>1000</v>
      </c>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row>
    <row r="158" spans="2:72" ht="15" x14ac:dyDescent="0.25">
      <c r="B158" s="129" t="s">
        <v>124</v>
      </c>
      <c r="C158" s="120">
        <f>startup_inventory</f>
        <v>1000</v>
      </c>
      <c r="D158" s="79"/>
      <c r="E158" s="79"/>
      <c r="F158" s="79"/>
      <c r="G158" s="79"/>
      <c r="H158" s="79"/>
      <c r="I158" s="79"/>
      <c r="J158" s="79"/>
      <c r="K158" s="79"/>
      <c r="L158" s="79"/>
      <c r="M158" s="79"/>
      <c r="N158" s="79"/>
      <c r="O158" s="79"/>
      <c r="P158" s="131">
        <f t="shared" si="7"/>
        <v>1000</v>
      </c>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row>
    <row r="159" spans="2:72" ht="15" x14ac:dyDescent="0.25">
      <c r="B159" s="205" t="s">
        <v>104</v>
      </c>
      <c r="C159" s="196">
        <f>C201</f>
        <v>0</v>
      </c>
      <c r="D159" s="221">
        <f t="shared" ref="D159:O159" si="8">D144*COGS_data</f>
        <v>500</v>
      </c>
      <c r="E159" s="221">
        <f t="shared" si="8"/>
        <v>0</v>
      </c>
      <c r="F159" s="221">
        <f t="shared" si="8"/>
        <v>0</v>
      </c>
      <c r="G159" s="221">
        <f t="shared" si="8"/>
        <v>0</v>
      </c>
      <c r="H159" s="221">
        <f t="shared" si="8"/>
        <v>250</v>
      </c>
      <c r="I159" s="221">
        <f t="shared" si="8"/>
        <v>250</v>
      </c>
      <c r="J159" s="221">
        <f t="shared" si="8"/>
        <v>250</v>
      </c>
      <c r="K159" s="221">
        <f t="shared" si="8"/>
        <v>250</v>
      </c>
      <c r="L159" s="221">
        <f t="shared" si="8"/>
        <v>250</v>
      </c>
      <c r="M159" s="221">
        <f t="shared" si="8"/>
        <v>250</v>
      </c>
      <c r="N159" s="221">
        <f t="shared" si="8"/>
        <v>250</v>
      </c>
      <c r="O159" s="221">
        <f t="shared" si="8"/>
        <v>250</v>
      </c>
      <c r="P159" s="131">
        <f t="shared" si="7"/>
        <v>2500</v>
      </c>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row>
    <row r="160" spans="2:72" ht="15.6" x14ac:dyDescent="0.3">
      <c r="B160" s="204" t="s">
        <v>160</v>
      </c>
      <c r="C160" s="117"/>
      <c r="D160" s="215"/>
      <c r="E160" s="215"/>
      <c r="F160" s="215"/>
      <c r="G160" s="215"/>
      <c r="H160" s="215"/>
      <c r="I160" s="215"/>
      <c r="J160" s="215"/>
      <c r="K160" s="215"/>
      <c r="L160" s="215"/>
      <c r="M160" s="215"/>
      <c r="N160" s="215"/>
      <c r="O160" s="215"/>
      <c r="P160" s="196">
        <f t="shared" si="7"/>
        <v>0</v>
      </c>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row>
    <row r="161" spans="2:72" ht="15" x14ac:dyDescent="0.25">
      <c r="B161" s="205" t="str">
        <f t="shared" ref="B161:B172" si="9">B48</f>
        <v>bus licence / registrations</v>
      </c>
      <c r="C161" s="196"/>
      <c r="D161" s="215"/>
      <c r="E161" s="215"/>
      <c r="F161" s="215"/>
      <c r="G161" s="215">
        <v>150</v>
      </c>
      <c r="H161" s="215"/>
      <c r="I161" s="215"/>
      <c r="J161" s="215"/>
      <c r="K161" s="215"/>
      <c r="L161" s="215"/>
      <c r="M161" s="215"/>
      <c r="N161" s="215"/>
      <c r="O161" s="215"/>
      <c r="P161" s="131">
        <f t="shared" si="7"/>
        <v>150</v>
      </c>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row>
    <row r="162" spans="2:72" ht="15" x14ac:dyDescent="0.25">
      <c r="B162" s="129" t="str">
        <f t="shared" si="9"/>
        <v>marketing</v>
      </c>
      <c r="C162" s="117"/>
      <c r="D162" s="215"/>
      <c r="E162" s="215"/>
      <c r="F162" s="215"/>
      <c r="G162" s="215"/>
      <c r="H162" s="215">
        <v>200</v>
      </c>
      <c r="I162" s="215"/>
      <c r="J162" s="215"/>
      <c r="K162" s="215"/>
      <c r="L162" s="215"/>
      <c r="M162" s="215"/>
      <c r="N162" s="215"/>
      <c r="O162" s="215"/>
      <c r="P162" s="131">
        <f t="shared" si="7"/>
        <v>200</v>
      </c>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row>
    <row r="163" spans="2:72" ht="15" x14ac:dyDescent="0.25">
      <c r="B163" s="205" t="str">
        <f t="shared" si="9"/>
        <v>office expense</v>
      </c>
      <c r="C163" s="196"/>
      <c r="D163" s="215"/>
      <c r="E163" s="215"/>
      <c r="F163" s="215"/>
      <c r="G163" s="215"/>
      <c r="H163" s="215"/>
      <c r="I163" s="215"/>
      <c r="J163" s="215"/>
      <c r="K163" s="215">
        <v>100</v>
      </c>
      <c r="L163" s="215"/>
      <c r="M163" s="215"/>
      <c r="N163" s="215"/>
      <c r="O163" s="215"/>
      <c r="P163" s="131">
        <f t="shared" si="7"/>
        <v>100</v>
      </c>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row>
    <row r="164" spans="2:72" ht="15" x14ac:dyDescent="0.25">
      <c r="B164" s="129" t="str">
        <f t="shared" si="9"/>
        <v>vehicle expense</v>
      </c>
      <c r="C164" s="117"/>
      <c r="D164" s="215"/>
      <c r="E164" s="215"/>
      <c r="F164" s="215"/>
      <c r="G164" s="215"/>
      <c r="H164" s="215">
        <v>100</v>
      </c>
      <c r="I164" s="215">
        <v>100</v>
      </c>
      <c r="J164" s="215">
        <v>100</v>
      </c>
      <c r="K164" s="215">
        <v>100</v>
      </c>
      <c r="L164" s="215">
        <v>100</v>
      </c>
      <c r="M164" s="215">
        <v>100</v>
      </c>
      <c r="N164" s="215">
        <v>100</v>
      </c>
      <c r="O164" s="215">
        <v>100</v>
      </c>
      <c r="P164" s="131">
        <f t="shared" si="7"/>
        <v>800</v>
      </c>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row>
    <row r="165" spans="2:72" ht="15" x14ac:dyDescent="0.25">
      <c r="B165" s="205" t="str">
        <f t="shared" si="9"/>
        <v>vehicle repairs</v>
      </c>
      <c r="C165" s="196"/>
      <c r="D165" s="215"/>
      <c r="E165" s="215"/>
      <c r="F165" s="215"/>
      <c r="G165" s="215"/>
      <c r="H165" s="215"/>
      <c r="I165" s="215">
        <v>1000</v>
      </c>
      <c r="J165" s="215"/>
      <c r="K165" s="215"/>
      <c r="L165" s="215"/>
      <c r="M165" s="215"/>
      <c r="N165" s="215"/>
      <c r="O165" s="215"/>
      <c r="P165" s="131">
        <f t="shared" si="7"/>
        <v>1000</v>
      </c>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row>
    <row r="166" spans="2:72" ht="15" x14ac:dyDescent="0.25">
      <c r="B166" s="129" t="str">
        <f t="shared" si="9"/>
        <v>vehicle insurance</v>
      </c>
      <c r="C166" s="117"/>
      <c r="D166" s="215"/>
      <c r="E166" s="215"/>
      <c r="F166" s="215"/>
      <c r="G166" s="215"/>
      <c r="H166" s="215"/>
      <c r="I166" s="215">
        <v>1500</v>
      </c>
      <c r="J166" s="215"/>
      <c r="K166" s="215"/>
      <c r="L166" s="215"/>
      <c r="M166" s="215"/>
      <c r="N166" s="215"/>
      <c r="O166" s="215"/>
      <c r="P166" s="131">
        <f t="shared" si="7"/>
        <v>1500</v>
      </c>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row>
    <row r="167" spans="2:72" ht="15" x14ac:dyDescent="0.25">
      <c r="B167" s="205" t="str">
        <f t="shared" si="9"/>
        <v>vehicle registration</v>
      </c>
      <c r="C167" s="196"/>
      <c r="D167" s="215"/>
      <c r="E167" s="215"/>
      <c r="F167" s="215"/>
      <c r="G167" s="215"/>
      <c r="H167" s="215">
        <v>200</v>
      </c>
      <c r="I167" s="215"/>
      <c r="J167" s="215"/>
      <c r="K167" s="215"/>
      <c r="L167" s="215"/>
      <c r="M167" s="215"/>
      <c r="N167" s="215"/>
      <c r="O167" s="215"/>
      <c r="P167" s="131">
        <f t="shared" si="7"/>
        <v>200</v>
      </c>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row>
    <row r="168" spans="2:72" ht="15" x14ac:dyDescent="0.25">
      <c r="B168" s="129" t="str">
        <f t="shared" si="9"/>
        <v>interest</v>
      </c>
      <c r="C168" s="117"/>
      <c r="D168" s="117">
        <f>IF(Loan_data&gt;1,'Loan Amortization Schedule'!$D14,0)</f>
        <v>416.66666666666669</v>
      </c>
      <c r="E168" s="117">
        <f>IF(Loan_data&gt;1,'Loan Amortization Schedule'!$D15,0)</f>
        <v>411.28595359252711</v>
      </c>
      <c r="F168" s="117">
        <f>IF(Loan_data&gt;1,'Loan Amortization Schedule'!$D16,0)</f>
        <v>405.86040124276968</v>
      </c>
      <c r="G168" s="117">
        <f>IF(Loan_data&gt;1,'Loan Amortization Schedule'!$D17,0)</f>
        <v>400.38963595676432</v>
      </c>
      <c r="H168" s="117">
        <f>IF(Loan_data&gt;1,'Loan Amortization Schedule'!$D18,0)</f>
        <v>394.87328096004228</v>
      </c>
      <c r="I168" s="117">
        <f>IF(Loan_data&gt;1,'Loan Amortization Schedule'!$D19,0)</f>
        <v>389.31095633834752</v>
      </c>
      <c r="J168" s="117">
        <f>IF(Loan_data&gt;1,'Loan Amortization Schedule'!$D20,0)</f>
        <v>383.70227901147194</v>
      </c>
      <c r="K168" s="117">
        <f>IF(Loan_data&gt;1,'Loan Amortization Schedule'!$D21,0)</f>
        <v>378.04686270687245</v>
      </c>
      <c r="L168" s="117">
        <f>IF(Loan_data&gt;1,'Loan Amortization Schedule'!$D22,0)</f>
        <v>372.34431793306794</v>
      </c>
      <c r="M168" s="117">
        <f>IF(Loan_data&gt;1,'Loan Amortization Schedule'!$D23,0)</f>
        <v>366.59425195281506</v>
      </c>
      <c r="N168" s="117">
        <f>IF(Loan_data&gt;1,'Loan Amortization Schedule'!$D24,0)</f>
        <v>360.79626875606004</v>
      </c>
      <c r="O168" s="117">
        <f>IF(Loan_data&gt;1,'Loan Amortization Schedule'!$D25,0)</f>
        <v>354.94996903266542</v>
      </c>
      <c r="P168" s="196">
        <f t="shared" si="7"/>
        <v>4634.820844150071</v>
      </c>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row>
    <row r="169" spans="2:72" ht="15" x14ac:dyDescent="0.25">
      <c r="B169" s="205" t="str">
        <f t="shared" si="9"/>
        <v>General business liability insurance</v>
      </c>
      <c r="C169" s="196"/>
      <c r="D169" s="80"/>
      <c r="E169" s="80"/>
      <c r="F169" s="80"/>
      <c r="G169" s="80"/>
      <c r="H169" s="80">
        <v>1200</v>
      </c>
      <c r="I169" s="80"/>
      <c r="J169" s="80"/>
      <c r="K169" s="80"/>
      <c r="L169" s="80"/>
      <c r="M169" s="80"/>
      <c r="N169" s="80"/>
      <c r="O169" s="80"/>
      <c r="P169" s="131">
        <f t="shared" si="7"/>
        <v>1200</v>
      </c>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row>
    <row r="170" spans="2:72" ht="15" x14ac:dyDescent="0.25">
      <c r="B170" s="129" t="str">
        <f t="shared" si="9"/>
        <v xml:space="preserve">WSCC </v>
      </c>
      <c r="C170" s="117"/>
      <c r="D170" s="215">
        <f>IF(D173=0,0,D173*$D$9)</f>
        <v>20</v>
      </c>
      <c r="E170" s="215">
        <f>IF(E173=0,0,E173*$D$9)</f>
        <v>0</v>
      </c>
      <c r="F170" s="215">
        <f>IF(F173=0,0,F173*$D$9)</f>
        <v>0</v>
      </c>
      <c r="G170" s="215">
        <f t="shared" ref="G170:O170" si="10">IF(G173=0,0,G173*$D$9)</f>
        <v>0</v>
      </c>
      <c r="H170" s="215">
        <f t="shared" si="10"/>
        <v>10</v>
      </c>
      <c r="I170" s="215">
        <f t="shared" si="10"/>
        <v>10</v>
      </c>
      <c r="J170" s="215">
        <f t="shared" si="10"/>
        <v>10</v>
      </c>
      <c r="K170" s="215">
        <f t="shared" si="10"/>
        <v>10</v>
      </c>
      <c r="L170" s="215">
        <f t="shared" si="10"/>
        <v>10</v>
      </c>
      <c r="M170" s="215">
        <f t="shared" si="10"/>
        <v>10</v>
      </c>
      <c r="N170" s="215">
        <f t="shared" si="10"/>
        <v>10</v>
      </c>
      <c r="O170" s="215">
        <f t="shared" si="10"/>
        <v>10</v>
      </c>
      <c r="P170" s="131">
        <f t="shared" si="7"/>
        <v>100</v>
      </c>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row>
    <row r="171" spans="2:72" ht="15" x14ac:dyDescent="0.25">
      <c r="B171" s="205" t="str">
        <f t="shared" si="9"/>
        <v>small tools expense</v>
      </c>
      <c r="C171" s="196"/>
      <c r="D171" s="215"/>
      <c r="E171" s="215"/>
      <c r="F171" s="215"/>
      <c r="G171" s="215"/>
      <c r="H171" s="215">
        <v>600</v>
      </c>
      <c r="I171" s="215"/>
      <c r="J171" s="215"/>
      <c r="K171" s="215"/>
      <c r="L171" s="215"/>
      <c r="M171" s="215"/>
      <c r="N171" s="215"/>
      <c r="O171" s="215"/>
      <c r="P171" s="131">
        <f t="shared" si="7"/>
        <v>600</v>
      </c>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row>
    <row r="172" spans="2:72" ht="15" x14ac:dyDescent="0.25">
      <c r="B172" s="129" t="str">
        <f t="shared" si="9"/>
        <v>bookkeeper</v>
      </c>
      <c r="C172" s="117"/>
      <c r="D172" s="215"/>
      <c r="E172" s="215"/>
      <c r="F172" s="215"/>
      <c r="G172" s="215"/>
      <c r="H172" s="215">
        <v>100</v>
      </c>
      <c r="I172" s="215">
        <v>100</v>
      </c>
      <c r="J172" s="215">
        <v>100</v>
      </c>
      <c r="K172" s="215">
        <v>100</v>
      </c>
      <c r="L172" s="215">
        <v>100</v>
      </c>
      <c r="M172" s="215">
        <v>100</v>
      </c>
      <c r="N172" s="215">
        <v>100</v>
      </c>
      <c r="O172" s="215">
        <v>100</v>
      </c>
      <c r="P172" s="131">
        <f t="shared" si="7"/>
        <v>800</v>
      </c>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row>
    <row r="173" spans="2:72" ht="15" x14ac:dyDescent="0.25">
      <c r="B173" s="129" t="str">
        <f>B64</f>
        <v xml:space="preserve">Wages </v>
      </c>
      <c r="C173" s="117"/>
      <c r="D173" s="215">
        <f t="shared" ref="D173:O173" si="11">$D$8*D144</f>
        <v>500</v>
      </c>
      <c r="E173" s="215">
        <f t="shared" si="11"/>
        <v>0</v>
      </c>
      <c r="F173" s="215">
        <f t="shared" si="11"/>
        <v>0</v>
      </c>
      <c r="G173" s="215">
        <f t="shared" si="11"/>
        <v>0</v>
      </c>
      <c r="H173" s="215">
        <f t="shared" si="11"/>
        <v>250</v>
      </c>
      <c r="I173" s="215">
        <f t="shared" si="11"/>
        <v>250</v>
      </c>
      <c r="J173" s="215">
        <f t="shared" si="11"/>
        <v>250</v>
      </c>
      <c r="K173" s="215">
        <f t="shared" si="11"/>
        <v>250</v>
      </c>
      <c r="L173" s="215">
        <f t="shared" si="11"/>
        <v>250</v>
      </c>
      <c r="M173" s="215">
        <f t="shared" si="11"/>
        <v>250</v>
      </c>
      <c r="N173" s="215">
        <f t="shared" si="11"/>
        <v>250</v>
      </c>
      <c r="O173" s="215">
        <f t="shared" si="11"/>
        <v>250</v>
      </c>
      <c r="P173" s="131">
        <f t="shared" si="7"/>
        <v>2500</v>
      </c>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row>
    <row r="174" spans="2:72" ht="15.6" x14ac:dyDescent="0.3">
      <c r="B174" s="206" t="s">
        <v>149</v>
      </c>
      <c r="C174" s="196"/>
      <c r="D174" s="215"/>
      <c r="E174" s="215"/>
      <c r="F174" s="215"/>
      <c r="G174" s="215"/>
      <c r="H174" s="215"/>
      <c r="I174" s="215"/>
      <c r="J174" s="215"/>
      <c r="K174" s="215"/>
      <c r="L174" s="215"/>
      <c r="M174" s="215"/>
      <c r="N174" s="215"/>
      <c r="O174" s="215"/>
      <c r="P174" s="196">
        <f t="shared" si="7"/>
        <v>0</v>
      </c>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row>
    <row r="175" spans="2:72" ht="15" x14ac:dyDescent="0.25">
      <c r="B175" s="207" t="s">
        <v>150</v>
      </c>
      <c r="C175" s="196"/>
      <c r="D175" s="215"/>
      <c r="E175" s="215"/>
      <c r="F175" s="215"/>
      <c r="G175" s="215"/>
      <c r="H175" s="215"/>
      <c r="I175" s="215">
        <v>1000</v>
      </c>
      <c r="J175" s="215"/>
      <c r="K175" s="215">
        <v>1000</v>
      </c>
      <c r="L175" s="215">
        <v>1000</v>
      </c>
      <c r="M175" s="215"/>
      <c r="N175" s="215">
        <v>1000</v>
      </c>
      <c r="O175" s="215">
        <v>1000</v>
      </c>
      <c r="P175" s="131">
        <f t="shared" si="7"/>
        <v>5000</v>
      </c>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row>
    <row r="176" spans="2:72" ht="15" x14ac:dyDescent="0.25">
      <c r="B176" s="129" t="s">
        <v>165</v>
      </c>
      <c r="C176" s="60"/>
      <c r="D176" s="117">
        <f>IF(Loan_data&gt;1,'Loan Amortization Schedule'!E14,0)</f>
        <v>645.6855688967471</v>
      </c>
      <c r="E176" s="117">
        <f>IF(Loan_data&gt;1,'Loan Amortization Schedule'!E15,0)</f>
        <v>651.06628197088673</v>
      </c>
      <c r="F176" s="117">
        <f>IF(Loan_data&gt;1,'Loan Amortization Schedule'!E16,0)</f>
        <v>656.4918343206441</v>
      </c>
      <c r="G176" s="117">
        <f>IF(Loan_data&gt;1,'Loan Amortization Schedule'!E17,0)</f>
        <v>661.96259960664952</v>
      </c>
      <c r="H176" s="117">
        <f>IF(Loan_data&gt;1,'Loan Amortization Schedule'!E18,0)</f>
        <v>667.47895460337156</v>
      </c>
      <c r="I176" s="117">
        <f>IF(Loan_data&gt;1,'Loan Amortization Schedule'!E19,0)</f>
        <v>673.04127922506632</v>
      </c>
      <c r="J176" s="117">
        <f>IF(Loan_data&gt;1,'Loan Amortization Schedule'!E20,0)</f>
        <v>678.64995655194184</v>
      </c>
      <c r="K176" s="117">
        <f>IF(Loan_data&gt;1,'Loan Amortization Schedule'!E21,0)</f>
        <v>684.30537285654145</v>
      </c>
      <c r="L176" s="117">
        <f>IF(Loan_data&gt;1,'Loan Amortization Schedule'!E22,0)</f>
        <v>690.0079176303459</v>
      </c>
      <c r="M176" s="117">
        <f>IF(Loan_data&gt;1,'Loan Amortization Schedule'!E23,0)</f>
        <v>695.75798361059879</v>
      </c>
      <c r="N176" s="117">
        <f>IF(Loan_data&gt;1,'Loan Amortization Schedule'!E24,0)</f>
        <v>701.5559668073538</v>
      </c>
      <c r="O176" s="117">
        <f>IF(Loan_data&gt;1,'Loan Amortization Schedule'!E25,0)</f>
        <v>707.40226653074842</v>
      </c>
      <c r="P176" s="131">
        <f t="shared" si="7"/>
        <v>8113.405982610896</v>
      </c>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row>
    <row r="177" spans="2:72" ht="15" x14ac:dyDescent="0.25">
      <c r="B177" s="129"/>
      <c r="C177" s="60"/>
      <c r="D177" s="193"/>
      <c r="E177" s="193"/>
      <c r="F177" s="193"/>
      <c r="G177" s="193"/>
      <c r="H177" s="193"/>
      <c r="I177" s="193"/>
      <c r="J177" s="193"/>
      <c r="K177" s="193"/>
      <c r="L177" s="193"/>
      <c r="M177" s="193"/>
      <c r="N177" s="193"/>
      <c r="O177" s="193"/>
      <c r="P177" s="196">
        <f t="shared" si="7"/>
        <v>0</v>
      </c>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row>
    <row r="178" spans="2:72" ht="15" x14ac:dyDescent="0.25">
      <c r="B178" s="129" t="s">
        <v>106</v>
      </c>
      <c r="C178" s="190">
        <f>SUM(C156:C176)</f>
        <v>22000</v>
      </c>
      <c r="D178" s="190">
        <f t="shared" ref="D178:O178" si="12">SUM(D156:D176)</f>
        <v>2082.3522355634141</v>
      </c>
      <c r="E178" s="190">
        <f t="shared" si="12"/>
        <v>1062.3522355634138</v>
      </c>
      <c r="F178" s="190">
        <f t="shared" si="12"/>
        <v>1062.3522355634138</v>
      </c>
      <c r="G178" s="190">
        <f t="shared" si="12"/>
        <v>1212.3522355634138</v>
      </c>
      <c r="H178" s="190">
        <f t="shared" si="12"/>
        <v>3972.3522355634141</v>
      </c>
      <c r="I178" s="190">
        <f>SUM(I156:I176)</f>
        <v>5272.3522355634141</v>
      </c>
      <c r="J178" s="190">
        <f t="shared" si="12"/>
        <v>1772.3522355634138</v>
      </c>
      <c r="K178" s="190">
        <f t="shared" si="12"/>
        <v>2872.3522355634136</v>
      </c>
      <c r="L178" s="190">
        <f t="shared" si="12"/>
        <v>2772.3522355634141</v>
      </c>
      <c r="M178" s="190">
        <f t="shared" si="12"/>
        <v>1772.3522355634138</v>
      </c>
      <c r="N178" s="190">
        <f t="shared" si="12"/>
        <v>2772.3522355634141</v>
      </c>
      <c r="O178" s="190">
        <f t="shared" si="12"/>
        <v>2772.3522355634141</v>
      </c>
      <c r="P178" s="190">
        <f>SUM(C178:O178)</f>
        <v>51398.226826760947</v>
      </c>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row>
    <row r="179" spans="2:72" ht="15" x14ac:dyDescent="0.25">
      <c r="B179" s="129" t="s">
        <v>166</v>
      </c>
      <c r="C179" s="191">
        <f>C151-C178</f>
        <v>56000</v>
      </c>
      <c r="D179" s="191">
        <f t="shared" ref="D179:O179" si="13">D151-D178</f>
        <v>2667.6477644365859</v>
      </c>
      <c r="E179" s="191">
        <f t="shared" si="13"/>
        <v>-1062.3522355634138</v>
      </c>
      <c r="F179" s="191">
        <f t="shared" si="13"/>
        <v>-1062.3522355634138</v>
      </c>
      <c r="G179" s="191">
        <f t="shared" si="13"/>
        <v>-1212.3522355634138</v>
      </c>
      <c r="H179" s="191">
        <f t="shared" si="13"/>
        <v>-1597.3522355634141</v>
      </c>
      <c r="I179" s="191">
        <f t="shared" si="13"/>
        <v>-2897.3522355634141</v>
      </c>
      <c r="J179" s="191">
        <f t="shared" si="13"/>
        <v>602.64776443658616</v>
      </c>
      <c r="K179" s="191">
        <f t="shared" si="13"/>
        <v>-497.35223556341361</v>
      </c>
      <c r="L179" s="191">
        <f t="shared" si="13"/>
        <v>-397.35223556341407</v>
      </c>
      <c r="M179" s="191">
        <f t="shared" si="13"/>
        <v>602.64776443658616</v>
      </c>
      <c r="N179" s="191">
        <f t="shared" si="13"/>
        <v>-397.35223556341407</v>
      </c>
      <c r="O179" s="191">
        <f t="shared" si="13"/>
        <v>-397.35223556341407</v>
      </c>
      <c r="P179" s="191"/>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row>
    <row r="180" spans="2:72" ht="15" x14ac:dyDescent="0.25">
      <c r="B180" s="129" t="s">
        <v>170</v>
      </c>
      <c r="C180" s="192"/>
      <c r="D180" s="192">
        <f t="shared" ref="D180:G180" si="14">C181+C184</f>
        <v>56000</v>
      </c>
      <c r="E180" s="192">
        <f t="shared" si="14"/>
        <v>58667.647764436588</v>
      </c>
      <c r="F180" s="192">
        <f t="shared" si="14"/>
        <v>57605.295528873175</v>
      </c>
      <c r="G180" s="192">
        <f t="shared" si="14"/>
        <v>56542.943293309763</v>
      </c>
      <c r="H180" s="192">
        <f>G181+G184</f>
        <v>55330.591057746351</v>
      </c>
      <c r="I180" s="192">
        <f t="shared" ref="I180:O180" si="15">H181+H184</f>
        <v>53733.238822182939</v>
      </c>
      <c r="J180" s="192">
        <f t="shared" si="15"/>
        <v>50835.886586619526</v>
      </c>
      <c r="K180" s="192">
        <f t="shared" si="15"/>
        <v>51438.534351056114</v>
      </c>
      <c r="L180" s="192">
        <f t="shared" si="15"/>
        <v>50941.182115492702</v>
      </c>
      <c r="M180" s="192">
        <f t="shared" si="15"/>
        <v>50543.82987992929</v>
      </c>
      <c r="N180" s="192">
        <f t="shared" si="15"/>
        <v>51146.477644365877</v>
      </c>
      <c r="O180" s="192">
        <f t="shared" si="15"/>
        <v>50749.125408802465</v>
      </c>
      <c r="P180" s="192"/>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row>
    <row r="181" spans="2:72" ht="15" x14ac:dyDescent="0.25">
      <c r="B181" s="129" t="s">
        <v>113</v>
      </c>
      <c r="C181" s="193">
        <f>C151-C178</f>
        <v>56000</v>
      </c>
      <c r="D181" s="193">
        <f>D179+D180</f>
        <v>58667.647764436588</v>
      </c>
      <c r="E181" s="193">
        <f t="shared" ref="E181:O181" si="16">E179+E180</f>
        <v>57605.295528873175</v>
      </c>
      <c r="F181" s="193">
        <f t="shared" si="16"/>
        <v>56542.943293309763</v>
      </c>
      <c r="G181" s="193">
        <f t="shared" si="16"/>
        <v>55330.591057746351</v>
      </c>
      <c r="H181" s="193">
        <f t="shared" si="16"/>
        <v>53733.238822182939</v>
      </c>
      <c r="I181" s="193">
        <f t="shared" si="16"/>
        <v>50835.886586619526</v>
      </c>
      <c r="J181" s="193">
        <f t="shared" si="16"/>
        <v>51438.534351056114</v>
      </c>
      <c r="K181" s="193">
        <f t="shared" si="16"/>
        <v>50941.182115492702</v>
      </c>
      <c r="L181" s="193">
        <f t="shared" si="16"/>
        <v>50543.82987992929</v>
      </c>
      <c r="M181" s="193">
        <f t="shared" si="16"/>
        <v>51146.477644365877</v>
      </c>
      <c r="N181" s="193">
        <f t="shared" si="16"/>
        <v>50749.125408802465</v>
      </c>
      <c r="O181" s="193">
        <f t="shared" si="16"/>
        <v>50351.773173239053</v>
      </c>
      <c r="P181" s="194">
        <f>P151-P178</f>
        <v>50351.773173239053</v>
      </c>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row>
    <row r="182" spans="2:72" ht="15" x14ac:dyDescent="0.25">
      <c r="B182" s="129"/>
      <c r="C182" s="192"/>
      <c r="D182" s="192"/>
      <c r="E182" s="192"/>
      <c r="F182" s="192"/>
      <c r="G182" s="192"/>
      <c r="H182" s="192"/>
      <c r="I182" s="192"/>
      <c r="J182" s="192"/>
      <c r="K182" s="192"/>
      <c r="L182" s="192"/>
      <c r="M182" s="192"/>
      <c r="N182" s="192"/>
      <c r="O182" s="192"/>
      <c r="P182" s="195"/>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row>
    <row r="183" spans="2:72" ht="15" x14ac:dyDescent="0.25">
      <c r="B183" s="129"/>
      <c r="C183" s="117"/>
      <c r="D183" s="117"/>
      <c r="E183" s="117"/>
      <c r="F183" s="117"/>
      <c r="G183" s="117"/>
      <c r="H183" s="117"/>
      <c r="I183" s="117"/>
      <c r="J183" s="117"/>
      <c r="K183" s="117"/>
      <c r="L183" s="117"/>
      <c r="M183" s="117"/>
      <c r="N183" s="117"/>
      <c r="O183" s="117"/>
      <c r="P183" s="117"/>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row>
    <row r="184" spans="2:72" ht="15" x14ac:dyDescent="0.25">
      <c r="B184" s="129" t="s">
        <v>139</v>
      </c>
      <c r="C184" s="193">
        <f t="shared" ref="C184:O184" si="17">IF(C181&lt;0,-C181+working_cap_emergency,0)</f>
        <v>0</v>
      </c>
      <c r="D184" s="193">
        <f t="shared" si="17"/>
        <v>0</v>
      </c>
      <c r="E184" s="193">
        <f t="shared" si="17"/>
        <v>0</v>
      </c>
      <c r="F184" s="193">
        <f t="shared" si="17"/>
        <v>0</v>
      </c>
      <c r="G184" s="193">
        <f t="shared" si="17"/>
        <v>0</v>
      </c>
      <c r="H184" s="193">
        <f t="shared" si="17"/>
        <v>0</v>
      </c>
      <c r="I184" s="193">
        <f t="shared" si="17"/>
        <v>0</v>
      </c>
      <c r="J184" s="193">
        <f t="shared" si="17"/>
        <v>0</v>
      </c>
      <c r="K184" s="193">
        <f t="shared" si="17"/>
        <v>0</v>
      </c>
      <c r="L184" s="193">
        <f t="shared" si="17"/>
        <v>0</v>
      </c>
      <c r="M184" s="193">
        <f t="shared" si="17"/>
        <v>0</v>
      </c>
      <c r="N184" s="193">
        <f t="shared" si="17"/>
        <v>0</v>
      </c>
      <c r="O184" s="193">
        <f t="shared" si="17"/>
        <v>0</v>
      </c>
      <c r="P184" s="193"/>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row>
    <row r="185" spans="2:72" ht="15" x14ac:dyDescent="0.25">
      <c r="B185" s="129"/>
      <c r="C185" s="129"/>
      <c r="D185" s="129"/>
      <c r="E185" s="129"/>
      <c r="F185" s="129"/>
      <c r="G185" s="129"/>
      <c r="H185" s="129"/>
      <c r="I185" s="129"/>
      <c r="J185" s="129"/>
      <c r="K185" s="129"/>
      <c r="L185" s="129"/>
      <c r="M185" s="129"/>
      <c r="N185" s="129"/>
      <c r="O185" s="129"/>
      <c r="P185" s="129"/>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row>
    <row r="186" spans="2:72" x14ac:dyDescent="0.25">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row>
    <row r="187" spans="2:72" x14ac:dyDescent="0.25">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row>
    <row r="188" spans="2:72" x14ac:dyDescent="0.25">
      <c r="B188" s="60"/>
      <c r="C188" s="60"/>
      <c r="D188" s="60"/>
      <c r="E188" s="60"/>
      <c r="F188" s="60"/>
      <c r="G188" s="60"/>
      <c r="H188" s="60"/>
      <c r="I188" s="60"/>
      <c r="J188" s="60"/>
      <c r="K188" s="60"/>
      <c r="L188" s="60"/>
      <c r="M188" s="60"/>
      <c r="N188" s="60"/>
      <c r="O188" s="60"/>
      <c r="P188" s="60"/>
      <c r="Q188" s="60"/>
      <c r="R188" s="202"/>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row>
    <row r="189" spans="2:72" x14ac:dyDescent="0.25">
      <c r="B189" s="60"/>
      <c r="C189" s="60"/>
      <c r="D189" s="60"/>
      <c r="E189" s="60"/>
      <c r="F189" s="60"/>
      <c r="G189" s="60"/>
      <c r="H189" s="60"/>
      <c r="I189" s="60"/>
      <c r="J189" s="60"/>
      <c r="K189" s="60"/>
      <c r="L189" s="60"/>
      <c r="M189" s="60"/>
      <c r="N189" s="60"/>
      <c r="O189" s="60"/>
      <c r="P189" s="60"/>
      <c r="Q189" s="202"/>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row>
    <row r="190" spans="2:72" x14ac:dyDescent="0.25">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row>
    <row r="191" spans="2:72" x14ac:dyDescent="0.25">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row>
    <row r="192" spans="2:72" x14ac:dyDescent="0.25">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row>
    <row r="193" spans="2:72" x14ac:dyDescent="0.25">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row>
    <row r="194" spans="2:72" ht="15.6" x14ac:dyDescent="0.3">
      <c r="B194" s="129"/>
      <c r="C194" s="208"/>
      <c r="D194" s="208"/>
      <c r="E194" s="208"/>
      <c r="F194" s="208"/>
      <c r="G194" s="208"/>
      <c r="H194" s="208"/>
      <c r="I194" s="208"/>
      <c r="J194" s="208"/>
      <c r="K194" s="208"/>
      <c r="L194" s="208"/>
      <c r="M194" s="208"/>
      <c r="N194" s="208"/>
      <c r="O194" s="208"/>
      <c r="P194" s="208"/>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row>
    <row r="195" spans="2:72" x14ac:dyDescent="0.25">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88" t="s">
        <v>136</v>
      </c>
      <c r="AN195" s="60"/>
      <c r="AO195" s="60"/>
      <c r="AP195" s="60"/>
      <c r="AQ195" s="60"/>
      <c r="AR195" s="60"/>
      <c r="AS195" s="60"/>
      <c r="AT195" s="60"/>
      <c r="AU195" s="60"/>
      <c r="AV195" s="60"/>
      <c r="AW195" s="60"/>
      <c r="AX195" s="60"/>
      <c r="AY195" s="88" t="s">
        <v>136</v>
      </c>
      <c r="AZ195" s="60"/>
      <c r="BA195" s="60"/>
      <c r="BB195" s="60"/>
      <c r="BC195" s="60"/>
      <c r="BD195" s="60"/>
      <c r="BE195" s="60"/>
      <c r="BF195" s="60"/>
      <c r="BG195" s="60"/>
      <c r="BH195" s="60"/>
      <c r="BI195" s="60"/>
      <c r="BJ195" s="60"/>
      <c r="BK195" s="60"/>
      <c r="BL195" s="60"/>
      <c r="BM195" s="60"/>
      <c r="BN195" s="60"/>
      <c r="BO195" s="60"/>
      <c r="BP195" s="60"/>
      <c r="BQ195" s="60"/>
      <c r="BR195" s="60"/>
      <c r="BS195" s="60"/>
      <c r="BT195" s="60"/>
    </row>
    <row r="196" spans="2:72" x14ac:dyDescent="0.25">
      <c r="B196" s="60"/>
      <c r="C196" s="60"/>
      <c r="D196" s="60"/>
      <c r="E196" s="60"/>
      <c r="F196" s="60"/>
      <c r="G196" s="60"/>
      <c r="H196" s="60"/>
      <c r="I196" s="60"/>
      <c r="J196" s="60"/>
      <c r="K196" s="60"/>
      <c r="L196" s="60"/>
      <c r="M196" s="60"/>
      <c r="N196" s="60"/>
      <c r="O196" s="209" t="s">
        <v>126</v>
      </c>
      <c r="P196" s="60"/>
      <c r="Q196" s="60"/>
      <c r="R196" s="60"/>
      <c r="S196" s="60"/>
      <c r="T196" s="60"/>
      <c r="U196" s="60"/>
      <c r="V196" s="60"/>
      <c r="W196" s="60"/>
      <c r="X196" s="60"/>
      <c r="Y196" s="60"/>
      <c r="Z196" s="60"/>
      <c r="AA196" s="209" t="s">
        <v>134</v>
      </c>
      <c r="AB196" s="60"/>
      <c r="AC196" s="60"/>
      <c r="AD196" s="60"/>
      <c r="AE196" s="60"/>
      <c r="AF196" s="60"/>
      <c r="AG196" s="60"/>
      <c r="AH196" s="60"/>
      <c r="AI196" s="60"/>
      <c r="AJ196" s="60"/>
      <c r="AK196" s="60"/>
      <c r="AL196" s="60"/>
      <c r="AM196" s="88" t="s">
        <v>135</v>
      </c>
      <c r="AN196" s="60"/>
      <c r="AO196" s="60"/>
      <c r="AP196" s="60"/>
      <c r="AQ196" s="60"/>
      <c r="AR196" s="60"/>
      <c r="AS196" s="60"/>
      <c r="AT196" s="60"/>
      <c r="AU196" s="60"/>
      <c r="AV196" s="60"/>
      <c r="AW196" s="60"/>
      <c r="AX196" s="60"/>
      <c r="AY196" s="88" t="s">
        <v>137</v>
      </c>
      <c r="AZ196" s="60"/>
      <c r="BA196" s="60"/>
      <c r="BB196" s="60"/>
      <c r="BC196" s="60"/>
      <c r="BD196" s="60"/>
      <c r="BE196" s="60"/>
      <c r="BF196" s="60"/>
      <c r="BG196" s="60"/>
      <c r="BH196" s="60"/>
      <c r="BI196" s="60"/>
      <c r="BJ196" s="60"/>
      <c r="BK196" s="60"/>
      <c r="BL196" s="60"/>
      <c r="BM196" s="60"/>
      <c r="BN196" s="60"/>
      <c r="BO196" s="60"/>
      <c r="BP196" s="60"/>
      <c r="BQ196" s="60"/>
      <c r="BR196" s="60"/>
      <c r="BS196" s="60"/>
      <c r="BT196" s="60"/>
    </row>
    <row r="197" spans="2:72" x14ac:dyDescent="0.25">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row>
    <row r="198" spans="2:72" ht="15.6" x14ac:dyDescent="0.3">
      <c r="B198" s="60"/>
      <c r="C198" s="116" t="s">
        <v>105</v>
      </c>
      <c r="D198" s="116" t="s">
        <v>178</v>
      </c>
      <c r="E198" s="116" t="s">
        <v>179</v>
      </c>
      <c r="F198" s="116" t="s">
        <v>180</v>
      </c>
      <c r="G198" s="116" t="s">
        <v>181</v>
      </c>
      <c r="H198" s="116" t="s">
        <v>182</v>
      </c>
      <c r="I198" s="116" t="s">
        <v>183</v>
      </c>
      <c r="J198" s="116" t="s">
        <v>184</v>
      </c>
      <c r="K198" s="116" t="s">
        <v>185</v>
      </c>
      <c r="L198" s="116" t="s">
        <v>186</v>
      </c>
      <c r="M198" s="116" t="s">
        <v>187</v>
      </c>
      <c r="N198" s="116" t="s">
        <v>188</v>
      </c>
      <c r="O198" s="116" t="s">
        <v>189</v>
      </c>
      <c r="P198" s="116" t="s">
        <v>193</v>
      </c>
      <c r="Q198" s="116" t="s">
        <v>194</v>
      </c>
      <c r="R198" s="116" t="s">
        <v>195</v>
      </c>
      <c r="S198" s="116" t="s">
        <v>196</v>
      </c>
      <c r="T198" s="116" t="s">
        <v>197</v>
      </c>
      <c r="U198" s="116" t="s">
        <v>198</v>
      </c>
      <c r="V198" s="116" t="s">
        <v>199</v>
      </c>
      <c r="W198" s="116" t="s">
        <v>200</v>
      </c>
      <c r="X198" s="116" t="s">
        <v>201</v>
      </c>
      <c r="Y198" s="116" t="s">
        <v>202</v>
      </c>
      <c r="Z198" s="116" t="s">
        <v>203</v>
      </c>
      <c r="AA198" s="116" t="s">
        <v>204</v>
      </c>
      <c r="AB198" s="116" t="s">
        <v>205</v>
      </c>
      <c r="AC198" s="116" t="s">
        <v>206</v>
      </c>
      <c r="AD198" s="116" t="s">
        <v>207</v>
      </c>
      <c r="AE198" s="116" t="s">
        <v>208</v>
      </c>
      <c r="AF198" s="116" t="s">
        <v>209</v>
      </c>
      <c r="AG198" s="116" t="s">
        <v>210</v>
      </c>
      <c r="AH198" s="116" t="s">
        <v>211</v>
      </c>
      <c r="AI198" s="116" t="s">
        <v>212</v>
      </c>
      <c r="AJ198" s="116" t="s">
        <v>213</v>
      </c>
      <c r="AK198" s="116" t="s">
        <v>214</v>
      </c>
      <c r="AL198" s="116" t="s">
        <v>215</v>
      </c>
      <c r="AM198" s="116" t="s">
        <v>216</v>
      </c>
      <c r="AN198" s="116" t="s">
        <v>217</v>
      </c>
      <c r="AO198" s="116" t="s">
        <v>218</v>
      </c>
      <c r="AP198" s="116" t="s">
        <v>219</v>
      </c>
      <c r="AQ198" s="116" t="s">
        <v>220</v>
      </c>
      <c r="AR198" s="116" t="s">
        <v>221</v>
      </c>
      <c r="AS198" s="116" t="s">
        <v>222</v>
      </c>
      <c r="AT198" s="116" t="s">
        <v>223</v>
      </c>
      <c r="AU198" s="116" t="s">
        <v>224</v>
      </c>
      <c r="AV198" s="116" t="s">
        <v>225</v>
      </c>
      <c r="AW198" s="116" t="s">
        <v>226</v>
      </c>
      <c r="AX198" s="116" t="s">
        <v>227</v>
      </c>
      <c r="AY198" s="116" t="s">
        <v>228</v>
      </c>
      <c r="AZ198" s="116" t="s">
        <v>229</v>
      </c>
      <c r="BA198" s="116" t="s">
        <v>230</v>
      </c>
      <c r="BB198" s="116" t="s">
        <v>231</v>
      </c>
      <c r="BC198" s="116" t="s">
        <v>232</v>
      </c>
      <c r="BD198" s="116" t="s">
        <v>233</v>
      </c>
      <c r="BE198" s="116" t="s">
        <v>234</v>
      </c>
      <c r="BF198" s="116" t="s">
        <v>235</v>
      </c>
      <c r="BG198" s="116" t="s">
        <v>236</v>
      </c>
      <c r="BH198" s="116" t="s">
        <v>237</v>
      </c>
      <c r="BI198" s="116" t="s">
        <v>238</v>
      </c>
      <c r="BJ198" s="116" t="s">
        <v>239</v>
      </c>
      <c r="BK198" s="116" t="s">
        <v>240</v>
      </c>
      <c r="BL198" s="60"/>
      <c r="BM198" s="60"/>
      <c r="BN198" s="60"/>
      <c r="BO198" s="60"/>
      <c r="BP198" s="60"/>
      <c r="BQ198" s="60"/>
      <c r="BR198" s="60"/>
      <c r="BS198" s="60"/>
      <c r="BT198" s="60"/>
    </row>
    <row r="199" spans="2:72" x14ac:dyDescent="0.25">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row>
    <row r="200" spans="2:72" x14ac:dyDescent="0.25">
      <c r="B200" s="88" t="s">
        <v>0</v>
      </c>
      <c r="C200" s="126">
        <f>C144</f>
        <v>0</v>
      </c>
      <c r="D200" s="126">
        <f>Cash_flow_sales_Jan</f>
        <v>5000</v>
      </c>
      <c r="E200" s="126">
        <f>cf_sales_Feb</f>
        <v>0</v>
      </c>
      <c r="F200" s="126">
        <f>cf_sales_Mar</f>
        <v>0</v>
      </c>
      <c r="G200" s="126">
        <f>G144</f>
        <v>0</v>
      </c>
      <c r="H200" s="126">
        <f t="shared" ref="H200:O200" si="18">H144</f>
        <v>2500</v>
      </c>
      <c r="I200" s="126">
        <f t="shared" si="18"/>
        <v>2500</v>
      </c>
      <c r="J200" s="126">
        <f t="shared" si="18"/>
        <v>2500</v>
      </c>
      <c r="K200" s="126">
        <f t="shared" si="18"/>
        <v>2500</v>
      </c>
      <c r="L200" s="126">
        <f t="shared" si="18"/>
        <v>2500</v>
      </c>
      <c r="M200" s="126">
        <f t="shared" si="18"/>
        <v>2500</v>
      </c>
      <c r="N200" s="126">
        <f t="shared" si="18"/>
        <v>2500</v>
      </c>
      <c r="O200" s="126">
        <f t="shared" si="18"/>
        <v>2500</v>
      </c>
      <c r="P200" s="86">
        <f>$D$5/12</f>
        <v>4583.333333333333</v>
      </c>
      <c r="Q200" s="86">
        <f t="shared" ref="Q200:AA200" si="19">$D$5/12</f>
        <v>4583.333333333333</v>
      </c>
      <c r="R200" s="86">
        <f t="shared" si="19"/>
        <v>4583.333333333333</v>
      </c>
      <c r="S200" s="86">
        <f t="shared" si="19"/>
        <v>4583.333333333333</v>
      </c>
      <c r="T200" s="86">
        <f t="shared" si="19"/>
        <v>4583.333333333333</v>
      </c>
      <c r="U200" s="86">
        <f t="shared" si="19"/>
        <v>4583.333333333333</v>
      </c>
      <c r="V200" s="86">
        <f t="shared" si="19"/>
        <v>4583.333333333333</v>
      </c>
      <c r="W200" s="86">
        <f t="shared" si="19"/>
        <v>4583.333333333333</v>
      </c>
      <c r="X200" s="86">
        <f t="shared" si="19"/>
        <v>4583.333333333333</v>
      </c>
      <c r="Y200" s="86">
        <f t="shared" si="19"/>
        <v>4583.333333333333</v>
      </c>
      <c r="Z200" s="86">
        <f t="shared" si="19"/>
        <v>4583.333333333333</v>
      </c>
      <c r="AA200" s="86">
        <f t="shared" si="19"/>
        <v>4583.333333333333</v>
      </c>
      <c r="AB200" s="86">
        <f t="shared" ref="AB200:AM200" si="20">Sales_forecast*(1+revenue_increase_yr3_5)</f>
        <v>4720.833333333333</v>
      </c>
      <c r="AC200" s="86">
        <f t="shared" si="20"/>
        <v>4720.833333333333</v>
      </c>
      <c r="AD200" s="86">
        <f t="shared" si="20"/>
        <v>4720.833333333333</v>
      </c>
      <c r="AE200" s="86">
        <f t="shared" si="20"/>
        <v>4720.833333333333</v>
      </c>
      <c r="AF200" s="86">
        <f t="shared" si="20"/>
        <v>4720.833333333333</v>
      </c>
      <c r="AG200" s="86">
        <f t="shared" si="20"/>
        <v>4720.833333333333</v>
      </c>
      <c r="AH200" s="86">
        <f t="shared" si="20"/>
        <v>4720.833333333333</v>
      </c>
      <c r="AI200" s="86">
        <f t="shared" si="20"/>
        <v>4720.833333333333</v>
      </c>
      <c r="AJ200" s="86">
        <f t="shared" si="20"/>
        <v>4720.833333333333</v>
      </c>
      <c r="AK200" s="86">
        <f t="shared" si="20"/>
        <v>4720.833333333333</v>
      </c>
      <c r="AL200" s="86">
        <f t="shared" si="20"/>
        <v>4720.833333333333</v>
      </c>
      <c r="AM200" s="86">
        <f t="shared" si="20"/>
        <v>4720.833333333333</v>
      </c>
      <c r="AN200" s="86">
        <f t="shared" ref="AN200:AY200" si="21">$AM$200*(1+revenue_increase_yr3_5)</f>
        <v>4862.458333333333</v>
      </c>
      <c r="AO200" s="86">
        <f t="shared" si="21"/>
        <v>4862.458333333333</v>
      </c>
      <c r="AP200" s="86">
        <f t="shared" si="21"/>
        <v>4862.458333333333</v>
      </c>
      <c r="AQ200" s="86">
        <f t="shared" si="21"/>
        <v>4862.458333333333</v>
      </c>
      <c r="AR200" s="86">
        <f t="shared" si="21"/>
        <v>4862.458333333333</v>
      </c>
      <c r="AS200" s="86">
        <f t="shared" si="21"/>
        <v>4862.458333333333</v>
      </c>
      <c r="AT200" s="86">
        <f t="shared" si="21"/>
        <v>4862.458333333333</v>
      </c>
      <c r="AU200" s="86">
        <f t="shared" si="21"/>
        <v>4862.458333333333</v>
      </c>
      <c r="AV200" s="86">
        <f t="shared" si="21"/>
        <v>4862.458333333333</v>
      </c>
      <c r="AW200" s="86">
        <f t="shared" si="21"/>
        <v>4862.458333333333</v>
      </c>
      <c r="AX200" s="86">
        <f t="shared" si="21"/>
        <v>4862.458333333333</v>
      </c>
      <c r="AY200" s="86">
        <f t="shared" si="21"/>
        <v>4862.458333333333</v>
      </c>
      <c r="AZ200" s="86">
        <f t="shared" ref="AZ200:BK200" si="22">$AY$200*(1+revenue_increase_yr3_5)</f>
        <v>5008.3320833333328</v>
      </c>
      <c r="BA200" s="86">
        <f t="shared" si="22"/>
        <v>5008.3320833333328</v>
      </c>
      <c r="BB200" s="86">
        <f t="shared" si="22"/>
        <v>5008.3320833333328</v>
      </c>
      <c r="BC200" s="86">
        <f t="shared" si="22"/>
        <v>5008.3320833333328</v>
      </c>
      <c r="BD200" s="86">
        <f t="shared" si="22"/>
        <v>5008.3320833333328</v>
      </c>
      <c r="BE200" s="86">
        <f t="shared" si="22"/>
        <v>5008.3320833333328</v>
      </c>
      <c r="BF200" s="86">
        <f t="shared" si="22"/>
        <v>5008.3320833333328</v>
      </c>
      <c r="BG200" s="86">
        <f t="shared" si="22"/>
        <v>5008.3320833333328</v>
      </c>
      <c r="BH200" s="86">
        <f t="shared" si="22"/>
        <v>5008.3320833333328</v>
      </c>
      <c r="BI200" s="86">
        <f t="shared" si="22"/>
        <v>5008.3320833333328</v>
      </c>
      <c r="BJ200" s="86">
        <f t="shared" si="22"/>
        <v>5008.3320833333328</v>
      </c>
      <c r="BK200" s="86">
        <f t="shared" si="22"/>
        <v>5008.3320833333328</v>
      </c>
      <c r="BL200" s="60"/>
      <c r="BM200" s="60"/>
      <c r="BN200" s="60"/>
      <c r="BO200" s="60"/>
      <c r="BP200" s="60"/>
      <c r="BQ200" s="60"/>
      <c r="BR200" s="60"/>
      <c r="BS200" s="60"/>
      <c r="BT200" s="60"/>
    </row>
    <row r="201" spans="2:72" x14ac:dyDescent="0.25">
      <c r="B201" s="88" t="s">
        <v>104</v>
      </c>
      <c r="C201" s="104">
        <f t="shared" ref="C201:AH201" si="23">COGS_data*C200</f>
        <v>0</v>
      </c>
      <c r="D201" s="104">
        <f t="shared" si="23"/>
        <v>500</v>
      </c>
      <c r="E201" s="104">
        <f t="shared" si="23"/>
        <v>0</v>
      </c>
      <c r="F201" s="104">
        <f t="shared" si="23"/>
        <v>0</v>
      </c>
      <c r="G201" s="104">
        <f t="shared" si="23"/>
        <v>0</v>
      </c>
      <c r="H201" s="104">
        <f t="shared" si="23"/>
        <v>250</v>
      </c>
      <c r="I201" s="104">
        <f t="shared" si="23"/>
        <v>250</v>
      </c>
      <c r="J201" s="104">
        <f t="shared" si="23"/>
        <v>250</v>
      </c>
      <c r="K201" s="104">
        <f t="shared" si="23"/>
        <v>250</v>
      </c>
      <c r="L201" s="104">
        <f t="shared" si="23"/>
        <v>250</v>
      </c>
      <c r="M201" s="104">
        <f t="shared" si="23"/>
        <v>250</v>
      </c>
      <c r="N201" s="104">
        <f t="shared" si="23"/>
        <v>250</v>
      </c>
      <c r="O201" s="104">
        <f t="shared" si="23"/>
        <v>250</v>
      </c>
      <c r="P201" s="104">
        <f t="shared" si="23"/>
        <v>458.33333333333331</v>
      </c>
      <c r="Q201" s="104">
        <f t="shared" si="23"/>
        <v>458.33333333333331</v>
      </c>
      <c r="R201" s="104">
        <f t="shared" si="23"/>
        <v>458.33333333333331</v>
      </c>
      <c r="S201" s="104">
        <f t="shared" si="23"/>
        <v>458.33333333333331</v>
      </c>
      <c r="T201" s="104">
        <f t="shared" si="23"/>
        <v>458.33333333333331</v>
      </c>
      <c r="U201" s="104">
        <f t="shared" si="23"/>
        <v>458.33333333333331</v>
      </c>
      <c r="V201" s="104">
        <f t="shared" si="23"/>
        <v>458.33333333333331</v>
      </c>
      <c r="W201" s="104">
        <f t="shared" si="23"/>
        <v>458.33333333333331</v>
      </c>
      <c r="X201" s="104">
        <f t="shared" si="23"/>
        <v>458.33333333333331</v>
      </c>
      <c r="Y201" s="104">
        <f t="shared" si="23"/>
        <v>458.33333333333331</v>
      </c>
      <c r="Z201" s="104">
        <f t="shared" si="23"/>
        <v>458.33333333333331</v>
      </c>
      <c r="AA201" s="104">
        <f t="shared" si="23"/>
        <v>458.33333333333331</v>
      </c>
      <c r="AB201" s="104">
        <f t="shared" si="23"/>
        <v>472.08333333333331</v>
      </c>
      <c r="AC201" s="104">
        <f t="shared" si="23"/>
        <v>472.08333333333331</v>
      </c>
      <c r="AD201" s="104">
        <f t="shared" si="23"/>
        <v>472.08333333333331</v>
      </c>
      <c r="AE201" s="104">
        <f t="shared" si="23"/>
        <v>472.08333333333331</v>
      </c>
      <c r="AF201" s="104">
        <f t="shared" si="23"/>
        <v>472.08333333333331</v>
      </c>
      <c r="AG201" s="104">
        <f t="shared" si="23"/>
        <v>472.08333333333331</v>
      </c>
      <c r="AH201" s="104">
        <f t="shared" si="23"/>
        <v>472.08333333333331</v>
      </c>
      <c r="AI201" s="104">
        <f t="shared" ref="AI201:BK201" si="24">COGS_data*AI200</f>
        <v>472.08333333333331</v>
      </c>
      <c r="AJ201" s="104">
        <f t="shared" si="24"/>
        <v>472.08333333333331</v>
      </c>
      <c r="AK201" s="104">
        <f t="shared" si="24"/>
        <v>472.08333333333331</v>
      </c>
      <c r="AL201" s="104">
        <f t="shared" si="24"/>
        <v>472.08333333333331</v>
      </c>
      <c r="AM201" s="104">
        <f t="shared" si="24"/>
        <v>472.08333333333331</v>
      </c>
      <c r="AN201" s="104">
        <f t="shared" si="24"/>
        <v>486.24583333333334</v>
      </c>
      <c r="AO201" s="104">
        <f t="shared" si="24"/>
        <v>486.24583333333334</v>
      </c>
      <c r="AP201" s="104">
        <f t="shared" si="24"/>
        <v>486.24583333333334</v>
      </c>
      <c r="AQ201" s="104">
        <f t="shared" si="24"/>
        <v>486.24583333333334</v>
      </c>
      <c r="AR201" s="104">
        <f t="shared" si="24"/>
        <v>486.24583333333334</v>
      </c>
      <c r="AS201" s="104">
        <f t="shared" si="24"/>
        <v>486.24583333333334</v>
      </c>
      <c r="AT201" s="104">
        <f t="shared" si="24"/>
        <v>486.24583333333334</v>
      </c>
      <c r="AU201" s="104">
        <f t="shared" si="24"/>
        <v>486.24583333333334</v>
      </c>
      <c r="AV201" s="104">
        <f t="shared" si="24"/>
        <v>486.24583333333334</v>
      </c>
      <c r="AW201" s="104">
        <f t="shared" si="24"/>
        <v>486.24583333333334</v>
      </c>
      <c r="AX201" s="104">
        <f t="shared" si="24"/>
        <v>486.24583333333334</v>
      </c>
      <c r="AY201" s="104">
        <f t="shared" si="24"/>
        <v>486.24583333333334</v>
      </c>
      <c r="AZ201" s="104">
        <f t="shared" si="24"/>
        <v>500.83320833333329</v>
      </c>
      <c r="BA201" s="104">
        <f t="shared" si="24"/>
        <v>500.83320833333329</v>
      </c>
      <c r="BB201" s="104">
        <f t="shared" si="24"/>
        <v>500.83320833333329</v>
      </c>
      <c r="BC201" s="104">
        <f t="shared" si="24"/>
        <v>500.83320833333329</v>
      </c>
      <c r="BD201" s="104">
        <f t="shared" si="24"/>
        <v>500.83320833333329</v>
      </c>
      <c r="BE201" s="104">
        <f t="shared" si="24"/>
        <v>500.83320833333329</v>
      </c>
      <c r="BF201" s="104">
        <f t="shared" si="24"/>
        <v>500.83320833333329</v>
      </c>
      <c r="BG201" s="104">
        <f t="shared" si="24"/>
        <v>500.83320833333329</v>
      </c>
      <c r="BH201" s="104">
        <f t="shared" si="24"/>
        <v>500.83320833333329</v>
      </c>
      <c r="BI201" s="104">
        <f t="shared" si="24"/>
        <v>500.83320833333329</v>
      </c>
      <c r="BJ201" s="104">
        <f t="shared" si="24"/>
        <v>500.83320833333329</v>
      </c>
      <c r="BK201" s="104">
        <f t="shared" si="24"/>
        <v>500.83320833333329</v>
      </c>
      <c r="BL201" s="60"/>
      <c r="BM201" s="60"/>
      <c r="BN201" s="60"/>
      <c r="BO201" s="60"/>
      <c r="BP201" s="60"/>
      <c r="BQ201" s="60"/>
      <c r="BR201" s="60"/>
      <c r="BS201" s="60"/>
      <c r="BT201" s="60"/>
    </row>
    <row r="202" spans="2:72" x14ac:dyDescent="0.25">
      <c r="B202" s="88" t="s">
        <v>123</v>
      </c>
      <c r="C202" s="86">
        <f t="shared" ref="C202:O202" si="25">C200-C201</f>
        <v>0</v>
      </c>
      <c r="D202" s="86">
        <f t="shared" si="25"/>
        <v>4500</v>
      </c>
      <c r="E202" s="86">
        <f t="shared" si="25"/>
        <v>0</v>
      </c>
      <c r="F202" s="86">
        <f t="shared" si="25"/>
        <v>0</v>
      </c>
      <c r="G202" s="86">
        <f t="shared" si="25"/>
        <v>0</v>
      </c>
      <c r="H202" s="86">
        <f t="shared" si="25"/>
        <v>2250</v>
      </c>
      <c r="I202" s="86">
        <f t="shared" si="25"/>
        <v>2250</v>
      </c>
      <c r="J202" s="86">
        <f t="shared" si="25"/>
        <v>2250</v>
      </c>
      <c r="K202" s="86">
        <f t="shared" si="25"/>
        <v>2250</v>
      </c>
      <c r="L202" s="86">
        <f t="shared" si="25"/>
        <v>2250</v>
      </c>
      <c r="M202" s="86">
        <f t="shared" si="25"/>
        <v>2250</v>
      </c>
      <c r="N202" s="86">
        <f t="shared" si="25"/>
        <v>2250</v>
      </c>
      <c r="O202" s="86">
        <f t="shared" si="25"/>
        <v>2250</v>
      </c>
      <c r="P202" s="86">
        <f t="shared" ref="P202:AA202" si="26">P200-P201</f>
        <v>4125</v>
      </c>
      <c r="Q202" s="86">
        <f t="shared" si="26"/>
        <v>4125</v>
      </c>
      <c r="R202" s="86">
        <f t="shared" si="26"/>
        <v>4125</v>
      </c>
      <c r="S202" s="86">
        <f t="shared" si="26"/>
        <v>4125</v>
      </c>
      <c r="T202" s="86">
        <f t="shared" si="26"/>
        <v>4125</v>
      </c>
      <c r="U202" s="86">
        <f t="shared" si="26"/>
        <v>4125</v>
      </c>
      <c r="V202" s="86">
        <f t="shared" si="26"/>
        <v>4125</v>
      </c>
      <c r="W202" s="86">
        <f t="shared" si="26"/>
        <v>4125</v>
      </c>
      <c r="X202" s="86">
        <f t="shared" si="26"/>
        <v>4125</v>
      </c>
      <c r="Y202" s="86">
        <f t="shared" si="26"/>
        <v>4125</v>
      </c>
      <c r="Z202" s="86">
        <f t="shared" si="26"/>
        <v>4125</v>
      </c>
      <c r="AA202" s="86">
        <f t="shared" si="26"/>
        <v>4125</v>
      </c>
      <c r="AB202" s="86">
        <f t="shared" ref="AB202:BK202" si="27">AB200-AB201</f>
        <v>4248.75</v>
      </c>
      <c r="AC202" s="86">
        <f t="shared" si="27"/>
        <v>4248.75</v>
      </c>
      <c r="AD202" s="86">
        <f t="shared" si="27"/>
        <v>4248.75</v>
      </c>
      <c r="AE202" s="86">
        <f t="shared" si="27"/>
        <v>4248.75</v>
      </c>
      <c r="AF202" s="86">
        <f t="shared" si="27"/>
        <v>4248.75</v>
      </c>
      <c r="AG202" s="86">
        <f t="shared" si="27"/>
        <v>4248.75</v>
      </c>
      <c r="AH202" s="86">
        <f t="shared" si="27"/>
        <v>4248.75</v>
      </c>
      <c r="AI202" s="86">
        <f t="shared" si="27"/>
        <v>4248.75</v>
      </c>
      <c r="AJ202" s="86">
        <f t="shared" si="27"/>
        <v>4248.75</v>
      </c>
      <c r="AK202" s="86">
        <f t="shared" si="27"/>
        <v>4248.75</v>
      </c>
      <c r="AL202" s="86">
        <f t="shared" si="27"/>
        <v>4248.75</v>
      </c>
      <c r="AM202" s="86">
        <f t="shared" si="27"/>
        <v>4248.75</v>
      </c>
      <c r="AN202" s="86">
        <f t="shared" si="27"/>
        <v>4376.2124999999996</v>
      </c>
      <c r="AO202" s="86">
        <f t="shared" si="27"/>
        <v>4376.2124999999996</v>
      </c>
      <c r="AP202" s="86">
        <f t="shared" si="27"/>
        <v>4376.2124999999996</v>
      </c>
      <c r="AQ202" s="86">
        <f t="shared" si="27"/>
        <v>4376.2124999999996</v>
      </c>
      <c r="AR202" s="86">
        <f t="shared" si="27"/>
        <v>4376.2124999999996</v>
      </c>
      <c r="AS202" s="86">
        <f t="shared" si="27"/>
        <v>4376.2124999999996</v>
      </c>
      <c r="AT202" s="86">
        <f t="shared" si="27"/>
        <v>4376.2124999999996</v>
      </c>
      <c r="AU202" s="86">
        <f t="shared" si="27"/>
        <v>4376.2124999999996</v>
      </c>
      <c r="AV202" s="86">
        <f t="shared" si="27"/>
        <v>4376.2124999999996</v>
      </c>
      <c r="AW202" s="86">
        <f t="shared" si="27"/>
        <v>4376.2124999999996</v>
      </c>
      <c r="AX202" s="86">
        <f t="shared" si="27"/>
        <v>4376.2124999999996</v>
      </c>
      <c r="AY202" s="86">
        <f t="shared" si="27"/>
        <v>4376.2124999999996</v>
      </c>
      <c r="AZ202" s="86">
        <f t="shared" si="27"/>
        <v>4507.4988749999993</v>
      </c>
      <c r="BA202" s="86">
        <f t="shared" si="27"/>
        <v>4507.4988749999993</v>
      </c>
      <c r="BB202" s="86">
        <f t="shared" si="27"/>
        <v>4507.4988749999993</v>
      </c>
      <c r="BC202" s="86">
        <f t="shared" si="27"/>
        <v>4507.4988749999993</v>
      </c>
      <c r="BD202" s="86">
        <f t="shared" si="27"/>
        <v>4507.4988749999993</v>
      </c>
      <c r="BE202" s="86">
        <f t="shared" si="27"/>
        <v>4507.4988749999993</v>
      </c>
      <c r="BF202" s="86">
        <f t="shared" si="27"/>
        <v>4507.4988749999993</v>
      </c>
      <c r="BG202" s="86">
        <f t="shared" si="27"/>
        <v>4507.4988749999993</v>
      </c>
      <c r="BH202" s="86">
        <f t="shared" si="27"/>
        <v>4507.4988749999993</v>
      </c>
      <c r="BI202" s="86">
        <f t="shared" si="27"/>
        <v>4507.4988749999993</v>
      </c>
      <c r="BJ202" s="86">
        <f t="shared" si="27"/>
        <v>4507.4988749999993</v>
      </c>
      <c r="BK202" s="86">
        <f t="shared" si="27"/>
        <v>4507.4988749999993</v>
      </c>
      <c r="BL202" s="86"/>
      <c r="BM202" s="86"/>
      <c r="BN202" s="60"/>
      <c r="BO202" s="60"/>
      <c r="BP202" s="60"/>
      <c r="BQ202" s="60"/>
      <c r="BR202" s="60"/>
      <c r="BS202" s="60"/>
      <c r="BT202" s="60"/>
    </row>
    <row r="203" spans="2:72" x14ac:dyDescent="0.25">
      <c r="B203" s="88" t="s">
        <v>117</v>
      </c>
      <c r="C203" s="60">
        <f t="shared" ref="C203:AH203" si="28">-bad_debt*C200</f>
        <v>0</v>
      </c>
      <c r="D203" s="60">
        <f t="shared" si="28"/>
        <v>-250</v>
      </c>
      <c r="E203" s="60">
        <f t="shared" si="28"/>
        <v>0</v>
      </c>
      <c r="F203" s="60">
        <f t="shared" si="28"/>
        <v>0</v>
      </c>
      <c r="G203" s="60">
        <f t="shared" si="28"/>
        <v>0</v>
      </c>
      <c r="H203" s="60">
        <f t="shared" si="28"/>
        <v>-125</v>
      </c>
      <c r="I203" s="60">
        <f t="shared" si="28"/>
        <v>-125</v>
      </c>
      <c r="J203" s="60">
        <f t="shared" si="28"/>
        <v>-125</v>
      </c>
      <c r="K203" s="60">
        <f t="shared" si="28"/>
        <v>-125</v>
      </c>
      <c r="L203" s="60">
        <f t="shared" si="28"/>
        <v>-125</v>
      </c>
      <c r="M203" s="60">
        <f t="shared" si="28"/>
        <v>-125</v>
      </c>
      <c r="N203" s="60">
        <f t="shared" si="28"/>
        <v>-125</v>
      </c>
      <c r="O203" s="60">
        <f t="shared" si="28"/>
        <v>-125</v>
      </c>
      <c r="P203" s="86">
        <f t="shared" si="28"/>
        <v>-229.16666666666666</v>
      </c>
      <c r="Q203" s="86">
        <f t="shared" si="28"/>
        <v>-229.16666666666666</v>
      </c>
      <c r="R203" s="86">
        <f t="shared" si="28"/>
        <v>-229.16666666666666</v>
      </c>
      <c r="S203" s="86">
        <f t="shared" si="28"/>
        <v>-229.16666666666666</v>
      </c>
      <c r="T203" s="86">
        <f t="shared" si="28"/>
        <v>-229.16666666666666</v>
      </c>
      <c r="U203" s="86">
        <f t="shared" si="28"/>
        <v>-229.16666666666666</v>
      </c>
      <c r="V203" s="86">
        <f t="shared" si="28"/>
        <v>-229.16666666666666</v>
      </c>
      <c r="W203" s="86">
        <f t="shared" si="28"/>
        <v>-229.16666666666666</v>
      </c>
      <c r="X203" s="86">
        <f t="shared" si="28"/>
        <v>-229.16666666666666</v>
      </c>
      <c r="Y203" s="86">
        <f t="shared" si="28"/>
        <v>-229.16666666666666</v>
      </c>
      <c r="Z203" s="86">
        <f t="shared" si="28"/>
        <v>-229.16666666666666</v>
      </c>
      <c r="AA203" s="86">
        <f t="shared" si="28"/>
        <v>-229.16666666666666</v>
      </c>
      <c r="AB203" s="86">
        <f t="shared" si="28"/>
        <v>-236.04166666666666</v>
      </c>
      <c r="AC203" s="86">
        <f t="shared" si="28"/>
        <v>-236.04166666666666</v>
      </c>
      <c r="AD203" s="86">
        <f t="shared" si="28"/>
        <v>-236.04166666666666</v>
      </c>
      <c r="AE203" s="86">
        <f t="shared" si="28"/>
        <v>-236.04166666666666</v>
      </c>
      <c r="AF203" s="86">
        <f t="shared" si="28"/>
        <v>-236.04166666666666</v>
      </c>
      <c r="AG203" s="86">
        <f t="shared" si="28"/>
        <v>-236.04166666666666</v>
      </c>
      <c r="AH203" s="86">
        <f t="shared" si="28"/>
        <v>-236.04166666666666</v>
      </c>
      <c r="AI203" s="86">
        <f t="shared" ref="AI203:BK203" si="29">-bad_debt*AI200</f>
        <v>-236.04166666666666</v>
      </c>
      <c r="AJ203" s="86">
        <f t="shared" si="29"/>
        <v>-236.04166666666666</v>
      </c>
      <c r="AK203" s="86">
        <f t="shared" si="29"/>
        <v>-236.04166666666666</v>
      </c>
      <c r="AL203" s="86">
        <f t="shared" si="29"/>
        <v>-236.04166666666666</v>
      </c>
      <c r="AM203" s="86">
        <f t="shared" si="29"/>
        <v>-236.04166666666666</v>
      </c>
      <c r="AN203" s="86">
        <f t="shared" si="29"/>
        <v>-243.12291666666667</v>
      </c>
      <c r="AO203" s="86">
        <f t="shared" si="29"/>
        <v>-243.12291666666667</v>
      </c>
      <c r="AP203" s="86">
        <f t="shared" si="29"/>
        <v>-243.12291666666667</v>
      </c>
      <c r="AQ203" s="86">
        <f t="shared" si="29"/>
        <v>-243.12291666666667</v>
      </c>
      <c r="AR203" s="86">
        <f t="shared" si="29"/>
        <v>-243.12291666666667</v>
      </c>
      <c r="AS203" s="86">
        <f t="shared" si="29"/>
        <v>-243.12291666666667</v>
      </c>
      <c r="AT203" s="86">
        <f t="shared" si="29"/>
        <v>-243.12291666666667</v>
      </c>
      <c r="AU203" s="86">
        <f t="shared" si="29"/>
        <v>-243.12291666666667</v>
      </c>
      <c r="AV203" s="86">
        <f t="shared" si="29"/>
        <v>-243.12291666666667</v>
      </c>
      <c r="AW203" s="86">
        <f t="shared" si="29"/>
        <v>-243.12291666666667</v>
      </c>
      <c r="AX203" s="86">
        <f t="shared" si="29"/>
        <v>-243.12291666666667</v>
      </c>
      <c r="AY203" s="86">
        <f t="shared" si="29"/>
        <v>-243.12291666666667</v>
      </c>
      <c r="AZ203" s="86">
        <f t="shared" si="29"/>
        <v>-250.41660416666664</v>
      </c>
      <c r="BA203" s="86">
        <f t="shared" si="29"/>
        <v>-250.41660416666664</v>
      </c>
      <c r="BB203" s="86">
        <f t="shared" si="29"/>
        <v>-250.41660416666664</v>
      </c>
      <c r="BC203" s="86">
        <f t="shared" si="29"/>
        <v>-250.41660416666664</v>
      </c>
      <c r="BD203" s="86">
        <f t="shared" si="29"/>
        <v>-250.41660416666664</v>
      </c>
      <c r="BE203" s="86">
        <f t="shared" si="29"/>
        <v>-250.41660416666664</v>
      </c>
      <c r="BF203" s="86">
        <f t="shared" si="29"/>
        <v>-250.41660416666664</v>
      </c>
      <c r="BG203" s="86">
        <f t="shared" si="29"/>
        <v>-250.41660416666664</v>
      </c>
      <c r="BH203" s="86">
        <f t="shared" si="29"/>
        <v>-250.41660416666664</v>
      </c>
      <c r="BI203" s="86">
        <f t="shared" si="29"/>
        <v>-250.41660416666664</v>
      </c>
      <c r="BJ203" s="86">
        <f t="shared" si="29"/>
        <v>-250.41660416666664</v>
      </c>
      <c r="BK203" s="86">
        <f t="shared" si="29"/>
        <v>-250.41660416666664</v>
      </c>
      <c r="BL203" s="86"/>
      <c r="BM203" s="86"/>
      <c r="BN203" s="60"/>
      <c r="BO203" s="60"/>
      <c r="BP203" s="60"/>
      <c r="BQ203" s="60"/>
      <c r="BR203" s="60"/>
      <c r="BS203" s="60"/>
      <c r="BT203" s="60"/>
    </row>
    <row r="204" spans="2:72" x14ac:dyDescent="0.25">
      <c r="B204" s="88" t="s">
        <v>121</v>
      </c>
      <c r="C204" s="86">
        <f t="shared" ref="C204:O204" si="30">C200+C203</f>
        <v>0</v>
      </c>
      <c r="D204" s="86">
        <f t="shared" si="30"/>
        <v>4750</v>
      </c>
      <c r="E204" s="86">
        <f t="shared" si="30"/>
        <v>0</v>
      </c>
      <c r="F204" s="86">
        <f t="shared" si="30"/>
        <v>0</v>
      </c>
      <c r="G204" s="86">
        <f t="shared" si="30"/>
        <v>0</v>
      </c>
      <c r="H204" s="86">
        <f t="shared" si="30"/>
        <v>2375</v>
      </c>
      <c r="I204" s="86">
        <f t="shared" si="30"/>
        <v>2375</v>
      </c>
      <c r="J204" s="86">
        <f t="shared" si="30"/>
        <v>2375</v>
      </c>
      <c r="K204" s="86">
        <f t="shared" si="30"/>
        <v>2375</v>
      </c>
      <c r="L204" s="86">
        <f t="shared" si="30"/>
        <v>2375</v>
      </c>
      <c r="M204" s="86">
        <f t="shared" si="30"/>
        <v>2375</v>
      </c>
      <c r="N204" s="86">
        <f t="shared" si="30"/>
        <v>2375</v>
      </c>
      <c r="O204" s="86">
        <f t="shared" si="30"/>
        <v>2375</v>
      </c>
      <c r="P204" s="86">
        <f t="shared" ref="P204:AA204" si="31">P200+P203</f>
        <v>4354.1666666666661</v>
      </c>
      <c r="Q204" s="86">
        <f t="shared" si="31"/>
        <v>4354.1666666666661</v>
      </c>
      <c r="R204" s="86">
        <f t="shared" si="31"/>
        <v>4354.1666666666661</v>
      </c>
      <c r="S204" s="86">
        <f t="shared" si="31"/>
        <v>4354.1666666666661</v>
      </c>
      <c r="T204" s="86">
        <f t="shared" si="31"/>
        <v>4354.1666666666661</v>
      </c>
      <c r="U204" s="86">
        <f t="shared" si="31"/>
        <v>4354.1666666666661</v>
      </c>
      <c r="V204" s="86">
        <f t="shared" si="31"/>
        <v>4354.1666666666661</v>
      </c>
      <c r="W204" s="86">
        <f t="shared" si="31"/>
        <v>4354.1666666666661</v>
      </c>
      <c r="X204" s="86">
        <f t="shared" si="31"/>
        <v>4354.1666666666661</v>
      </c>
      <c r="Y204" s="86">
        <f t="shared" si="31"/>
        <v>4354.1666666666661</v>
      </c>
      <c r="Z204" s="86">
        <f t="shared" si="31"/>
        <v>4354.1666666666661</v>
      </c>
      <c r="AA204" s="86">
        <f t="shared" si="31"/>
        <v>4354.1666666666661</v>
      </c>
      <c r="AB204" s="86">
        <f t="shared" ref="AB204:BK204" si="32">AB200+AB203</f>
        <v>4484.7916666666661</v>
      </c>
      <c r="AC204" s="86">
        <f t="shared" si="32"/>
        <v>4484.7916666666661</v>
      </c>
      <c r="AD204" s="86">
        <f t="shared" si="32"/>
        <v>4484.7916666666661</v>
      </c>
      <c r="AE204" s="86">
        <f t="shared" si="32"/>
        <v>4484.7916666666661</v>
      </c>
      <c r="AF204" s="86">
        <f t="shared" si="32"/>
        <v>4484.7916666666661</v>
      </c>
      <c r="AG204" s="86">
        <f t="shared" si="32"/>
        <v>4484.7916666666661</v>
      </c>
      <c r="AH204" s="86">
        <f t="shared" si="32"/>
        <v>4484.7916666666661</v>
      </c>
      <c r="AI204" s="86">
        <f t="shared" si="32"/>
        <v>4484.7916666666661</v>
      </c>
      <c r="AJ204" s="86">
        <f t="shared" si="32"/>
        <v>4484.7916666666661</v>
      </c>
      <c r="AK204" s="86">
        <f t="shared" si="32"/>
        <v>4484.7916666666661</v>
      </c>
      <c r="AL204" s="86">
        <f t="shared" si="32"/>
        <v>4484.7916666666661</v>
      </c>
      <c r="AM204" s="86">
        <f t="shared" si="32"/>
        <v>4484.7916666666661</v>
      </c>
      <c r="AN204" s="86">
        <f t="shared" si="32"/>
        <v>4619.3354166666668</v>
      </c>
      <c r="AO204" s="86">
        <f t="shared" si="32"/>
        <v>4619.3354166666668</v>
      </c>
      <c r="AP204" s="86">
        <f t="shared" si="32"/>
        <v>4619.3354166666668</v>
      </c>
      <c r="AQ204" s="86">
        <f t="shared" si="32"/>
        <v>4619.3354166666668</v>
      </c>
      <c r="AR204" s="86">
        <f t="shared" si="32"/>
        <v>4619.3354166666668</v>
      </c>
      <c r="AS204" s="86">
        <f t="shared" si="32"/>
        <v>4619.3354166666668</v>
      </c>
      <c r="AT204" s="86">
        <f t="shared" si="32"/>
        <v>4619.3354166666668</v>
      </c>
      <c r="AU204" s="86">
        <f t="shared" si="32"/>
        <v>4619.3354166666668</v>
      </c>
      <c r="AV204" s="86">
        <f t="shared" si="32"/>
        <v>4619.3354166666668</v>
      </c>
      <c r="AW204" s="86">
        <f t="shared" si="32"/>
        <v>4619.3354166666668</v>
      </c>
      <c r="AX204" s="86">
        <f t="shared" si="32"/>
        <v>4619.3354166666668</v>
      </c>
      <c r="AY204" s="86">
        <f t="shared" si="32"/>
        <v>4619.3354166666668</v>
      </c>
      <c r="AZ204" s="86">
        <f t="shared" si="32"/>
        <v>4757.915479166666</v>
      </c>
      <c r="BA204" s="86">
        <f t="shared" si="32"/>
        <v>4757.915479166666</v>
      </c>
      <c r="BB204" s="86">
        <f t="shared" si="32"/>
        <v>4757.915479166666</v>
      </c>
      <c r="BC204" s="86">
        <f t="shared" si="32"/>
        <v>4757.915479166666</v>
      </c>
      <c r="BD204" s="86">
        <f t="shared" si="32"/>
        <v>4757.915479166666</v>
      </c>
      <c r="BE204" s="86">
        <f t="shared" si="32"/>
        <v>4757.915479166666</v>
      </c>
      <c r="BF204" s="86">
        <f t="shared" si="32"/>
        <v>4757.915479166666</v>
      </c>
      <c r="BG204" s="86">
        <f t="shared" si="32"/>
        <v>4757.915479166666</v>
      </c>
      <c r="BH204" s="86">
        <f t="shared" si="32"/>
        <v>4757.915479166666</v>
      </c>
      <c r="BI204" s="86">
        <f t="shared" si="32"/>
        <v>4757.915479166666</v>
      </c>
      <c r="BJ204" s="86">
        <f t="shared" si="32"/>
        <v>4757.915479166666</v>
      </c>
      <c r="BK204" s="86">
        <f t="shared" si="32"/>
        <v>4757.915479166666</v>
      </c>
      <c r="BL204" s="86"/>
      <c r="BM204" s="86"/>
      <c r="BN204" s="60"/>
      <c r="BO204" s="60"/>
      <c r="BP204" s="60"/>
      <c r="BQ204" s="60"/>
      <c r="BR204" s="60"/>
      <c r="BS204" s="60"/>
      <c r="BT204" s="60"/>
    </row>
    <row r="205" spans="2:72" x14ac:dyDescent="0.25">
      <c r="B205" s="88" t="s">
        <v>118</v>
      </c>
      <c r="C205" s="121">
        <f t="shared" ref="C205:AH205" si="33">C204*$D$29</f>
        <v>0</v>
      </c>
      <c r="D205" s="121">
        <f t="shared" si="33"/>
        <v>4750</v>
      </c>
      <c r="E205" s="121">
        <f t="shared" si="33"/>
        <v>0</v>
      </c>
      <c r="F205" s="121">
        <f t="shared" si="33"/>
        <v>0</v>
      </c>
      <c r="G205" s="121">
        <f t="shared" si="33"/>
        <v>0</v>
      </c>
      <c r="H205" s="121">
        <f t="shared" si="33"/>
        <v>2375</v>
      </c>
      <c r="I205" s="121">
        <f t="shared" si="33"/>
        <v>2375</v>
      </c>
      <c r="J205" s="121">
        <f t="shared" si="33"/>
        <v>2375</v>
      </c>
      <c r="K205" s="121">
        <f t="shared" si="33"/>
        <v>2375</v>
      </c>
      <c r="L205" s="121">
        <f t="shared" si="33"/>
        <v>2375</v>
      </c>
      <c r="M205" s="121">
        <f t="shared" si="33"/>
        <v>2375</v>
      </c>
      <c r="N205" s="121">
        <f t="shared" si="33"/>
        <v>2375</v>
      </c>
      <c r="O205" s="121">
        <f t="shared" si="33"/>
        <v>2375</v>
      </c>
      <c r="P205" s="121">
        <f t="shared" si="33"/>
        <v>4354.1666666666661</v>
      </c>
      <c r="Q205" s="121">
        <f t="shared" si="33"/>
        <v>4354.1666666666661</v>
      </c>
      <c r="R205" s="121">
        <f t="shared" si="33"/>
        <v>4354.1666666666661</v>
      </c>
      <c r="S205" s="121">
        <f t="shared" si="33"/>
        <v>4354.1666666666661</v>
      </c>
      <c r="T205" s="121">
        <f t="shared" si="33"/>
        <v>4354.1666666666661</v>
      </c>
      <c r="U205" s="121">
        <f t="shared" si="33"/>
        <v>4354.1666666666661</v>
      </c>
      <c r="V205" s="121">
        <f t="shared" si="33"/>
        <v>4354.1666666666661</v>
      </c>
      <c r="W205" s="121">
        <f t="shared" si="33"/>
        <v>4354.1666666666661</v>
      </c>
      <c r="X205" s="121">
        <f t="shared" si="33"/>
        <v>4354.1666666666661</v>
      </c>
      <c r="Y205" s="121">
        <f t="shared" si="33"/>
        <v>4354.1666666666661</v>
      </c>
      <c r="Z205" s="121">
        <f t="shared" si="33"/>
        <v>4354.1666666666661</v>
      </c>
      <c r="AA205" s="121">
        <f t="shared" si="33"/>
        <v>4354.1666666666661</v>
      </c>
      <c r="AB205" s="121">
        <f t="shared" si="33"/>
        <v>4484.7916666666661</v>
      </c>
      <c r="AC205" s="121">
        <f t="shared" si="33"/>
        <v>4484.7916666666661</v>
      </c>
      <c r="AD205" s="121">
        <f t="shared" si="33"/>
        <v>4484.7916666666661</v>
      </c>
      <c r="AE205" s="121">
        <f t="shared" si="33"/>
        <v>4484.7916666666661</v>
      </c>
      <c r="AF205" s="121">
        <f t="shared" si="33"/>
        <v>4484.7916666666661</v>
      </c>
      <c r="AG205" s="121">
        <f t="shared" si="33"/>
        <v>4484.7916666666661</v>
      </c>
      <c r="AH205" s="121">
        <f t="shared" si="33"/>
        <v>4484.7916666666661</v>
      </c>
      <c r="AI205" s="121">
        <f t="shared" ref="AI205:BL205" si="34">AI204*$D$29</f>
        <v>4484.7916666666661</v>
      </c>
      <c r="AJ205" s="121">
        <f t="shared" si="34"/>
        <v>4484.7916666666661</v>
      </c>
      <c r="AK205" s="121">
        <f t="shared" si="34"/>
        <v>4484.7916666666661</v>
      </c>
      <c r="AL205" s="121">
        <f t="shared" si="34"/>
        <v>4484.7916666666661</v>
      </c>
      <c r="AM205" s="121">
        <f t="shared" si="34"/>
        <v>4484.7916666666661</v>
      </c>
      <c r="AN205" s="121">
        <f t="shared" si="34"/>
        <v>4619.3354166666668</v>
      </c>
      <c r="AO205" s="121">
        <f t="shared" si="34"/>
        <v>4619.3354166666668</v>
      </c>
      <c r="AP205" s="121">
        <f t="shared" si="34"/>
        <v>4619.3354166666668</v>
      </c>
      <c r="AQ205" s="121">
        <f t="shared" si="34"/>
        <v>4619.3354166666668</v>
      </c>
      <c r="AR205" s="121">
        <f t="shared" si="34"/>
        <v>4619.3354166666668</v>
      </c>
      <c r="AS205" s="121">
        <f t="shared" si="34"/>
        <v>4619.3354166666668</v>
      </c>
      <c r="AT205" s="121">
        <f t="shared" si="34"/>
        <v>4619.3354166666668</v>
      </c>
      <c r="AU205" s="121">
        <f t="shared" si="34"/>
        <v>4619.3354166666668</v>
      </c>
      <c r="AV205" s="121">
        <f t="shared" si="34"/>
        <v>4619.3354166666668</v>
      </c>
      <c r="AW205" s="121">
        <f t="shared" si="34"/>
        <v>4619.3354166666668</v>
      </c>
      <c r="AX205" s="121">
        <f t="shared" si="34"/>
        <v>4619.3354166666668</v>
      </c>
      <c r="AY205" s="121">
        <f t="shared" si="34"/>
        <v>4619.3354166666668</v>
      </c>
      <c r="AZ205" s="121">
        <f t="shared" si="34"/>
        <v>4757.915479166666</v>
      </c>
      <c r="BA205" s="121">
        <f t="shared" si="34"/>
        <v>4757.915479166666</v>
      </c>
      <c r="BB205" s="121">
        <f t="shared" si="34"/>
        <v>4757.915479166666</v>
      </c>
      <c r="BC205" s="121">
        <f t="shared" si="34"/>
        <v>4757.915479166666</v>
      </c>
      <c r="BD205" s="121">
        <f t="shared" si="34"/>
        <v>4757.915479166666</v>
      </c>
      <c r="BE205" s="121">
        <f t="shared" si="34"/>
        <v>4757.915479166666</v>
      </c>
      <c r="BF205" s="121">
        <f t="shared" si="34"/>
        <v>4757.915479166666</v>
      </c>
      <c r="BG205" s="121">
        <f t="shared" si="34"/>
        <v>4757.915479166666</v>
      </c>
      <c r="BH205" s="121">
        <f t="shared" si="34"/>
        <v>4757.915479166666</v>
      </c>
      <c r="BI205" s="121">
        <f t="shared" si="34"/>
        <v>4757.915479166666</v>
      </c>
      <c r="BJ205" s="121">
        <f t="shared" si="34"/>
        <v>4757.915479166666</v>
      </c>
      <c r="BK205" s="121">
        <f t="shared" si="34"/>
        <v>4757.915479166666</v>
      </c>
      <c r="BL205" s="121">
        <f t="shared" si="34"/>
        <v>0</v>
      </c>
      <c r="BM205" s="86"/>
      <c r="BN205" s="60"/>
      <c r="BO205" s="60"/>
      <c r="BP205" s="60"/>
      <c r="BQ205" s="60"/>
      <c r="BR205" s="60"/>
      <c r="BS205" s="60"/>
      <c r="BT205" s="60"/>
    </row>
    <row r="206" spans="2:72" x14ac:dyDescent="0.25">
      <c r="B206" s="88" t="s">
        <v>132</v>
      </c>
      <c r="C206" s="60"/>
      <c r="D206" s="60">
        <f t="shared" ref="D206:AI206" si="35">C204*$D$30</f>
        <v>0</v>
      </c>
      <c r="E206" s="60">
        <f t="shared" si="35"/>
        <v>0</v>
      </c>
      <c r="F206" s="60">
        <f t="shared" si="35"/>
        <v>0</v>
      </c>
      <c r="G206" s="60">
        <f t="shared" si="35"/>
        <v>0</v>
      </c>
      <c r="H206" s="60">
        <f t="shared" si="35"/>
        <v>0</v>
      </c>
      <c r="I206" s="60">
        <f t="shared" si="35"/>
        <v>0</v>
      </c>
      <c r="J206" s="60">
        <f t="shared" si="35"/>
        <v>0</v>
      </c>
      <c r="K206" s="60">
        <f t="shared" si="35"/>
        <v>0</v>
      </c>
      <c r="L206" s="60">
        <f t="shared" si="35"/>
        <v>0</v>
      </c>
      <c r="M206" s="60">
        <f t="shared" si="35"/>
        <v>0</v>
      </c>
      <c r="N206" s="60">
        <f t="shared" si="35"/>
        <v>0</v>
      </c>
      <c r="O206" s="60">
        <f t="shared" si="35"/>
        <v>0</v>
      </c>
      <c r="P206" s="86">
        <f t="shared" si="35"/>
        <v>0</v>
      </c>
      <c r="Q206" s="86">
        <f t="shared" si="35"/>
        <v>0</v>
      </c>
      <c r="R206" s="86">
        <f t="shared" si="35"/>
        <v>0</v>
      </c>
      <c r="S206" s="86">
        <f t="shared" si="35"/>
        <v>0</v>
      </c>
      <c r="T206" s="86">
        <f t="shared" si="35"/>
        <v>0</v>
      </c>
      <c r="U206" s="86">
        <f t="shared" si="35"/>
        <v>0</v>
      </c>
      <c r="V206" s="86">
        <f t="shared" si="35"/>
        <v>0</v>
      </c>
      <c r="W206" s="86">
        <f t="shared" si="35"/>
        <v>0</v>
      </c>
      <c r="X206" s="86">
        <f t="shared" si="35"/>
        <v>0</v>
      </c>
      <c r="Y206" s="86">
        <f t="shared" si="35"/>
        <v>0</v>
      </c>
      <c r="Z206" s="86">
        <f t="shared" si="35"/>
        <v>0</v>
      </c>
      <c r="AA206" s="86">
        <f t="shared" si="35"/>
        <v>0</v>
      </c>
      <c r="AB206" s="86">
        <f t="shared" si="35"/>
        <v>0</v>
      </c>
      <c r="AC206" s="86">
        <f t="shared" si="35"/>
        <v>0</v>
      </c>
      <c r="AD206" s="86">
        <f t="shared" si="35"/>
        <v>0</v>
      </c>
      <c r="AE206" s="86">
        <f t="shared" si="35"/>
        <v>0</v>
      </c>
      <c r="AF206" s="86">
        <f t="shared" si="35"/>
        <v>0</v>
      </c>
      <c r="AG206" s="86">
        <f t="shared" si="35"/>
        <v>0</v>
      </c>
      <c r="AH206" s="86">
        <f t="shared" si="35"/>
        <v>0</v>
      </c>
      <c r="AI206" s="86">
        <f t="shared" si="35"/>
        <v>0</v>
      </c>
      <c r="AJ206" s="86">
        <f t="shared" ref="AJ206:BL206" si="36">AI204*$D$30</f>
        <v>0</v>
      </c>
      <c r="AK206" s="86">
        <f t="shared" si="36"/>
        <v>0</v>
      </c>
      <c r="AL206" s="86">
        <f t="shared" si="36"/>
        <v>0</v>
      </c>
      <c r="AM206" s="86">
        <f t="shared" si="36"/>
        <v>0</v>
      </c>
      <c r="AN206" s="86">
        <f t="shared" si="36"/>
        <v>0</v>
      </c>
      <c r="AO206" s="86">
        <f t="shared" si="36"/>
        <v>0</v>
      </c>
      <c r="AP206" s="86">
        <f t="shared" si="36"/>
        <v>0</v>
      </c>
      <c r="AQ206" s="86">
        <f t="shared" si="36"/>
        <v>0</v>
      </c>
      <c r="AR206" s="86">
        <f t="shared" si="36"/>
        <v>0</v>
      </c>
      <c r="AS206" s="86">
        <f t="shared" si="36"/>
        <v>0</v>
      </c>
      <c r="AT206" s="86">
        <f t="shared" si="36"/>
        <v>0</v>
      </c>
      <c r="AU206" s="86">
        <f t="shared" si="36"/>
        <v>0</v>
      </c>
      <c r="AV206" s="86">
        <f t="shared" si="36"/>
        <v>0</v>
      </c>
      <c r="AW206" s="86">
        <f t="shared" si="36"/>
        <v>0</v>
      </c>
      <c r="AX206" s="86">
        <f t="shared" si="36"/>
        <v>0</v>
      </c>
      <c r="AY206" s="86">
        <f t="shared" si="36"/>
        <v>0</v>
      </c>
      <c r="AZ206" s="86">
        <f t="shared" si="36"/>
        <v>0</v>
      </c>
      <c r="BA206" s="86">
        <f t="shared" si="36"/>
        <v>0</v>
      </c>
      <c r="BB206" s="86">
        <f t="shared" si="36"/>
        <v>0</v>
      </c>
      <c r="BC206" s="86">
        <f t="shared" si="36"/>
        <v>0</v>
      </c>
      <c r="BD206" s="86">
        <f t="shared" si="36"/>
        <v>0</v>
      </c>
      <c r="BE206" s="86">
        <f t="shared" si="36"/>
        <v>0</v>
      </c>
      <c r="BF206" s="86">
        <f t="shared" si="36"/>
        <v>0</v>
      </c>
      <c r="BG206" s="86">
        <f t="shared" si="36"/>
        <v>0</v>
      </c>
      <c r="BH206" s="86">
        <f t="shared" si="36"/>
        <v>0</v>
      </c>
      <c r="BI206" s="86">
        <f t="shared" si="36"/>
        <v>0</v>
      </c>
      <c r="BJ206" s="86">
        <f t="shared" si="36"/>
        <v>0</v>
      </c>
      <c r="BK206" s="86">
        <f t="shared" si="36"/>
        <v>0</v>
      </c>
      <c r="BL206" s="86">
        <f t="shared" si="36"/>
        <v>0</v>
      </c>
      <c r="BM206" s="86"/>
      <c r="BN206" s="60"/>
      <c r="BO206" s="60"/>
      <c r="BP206" s="60"/>
      <c r="BQ206" s="60"/>
      <c r="BR206" s="60"/>
      <c r="BS206" s="60"/>
      <c r="BT206" s="60"/>
    </row>
    <row r="207" spans="2:72" x14ac:dyDescent="0.25">
      <c r="B207" s="88" t="s">
        <v>140</v>
      </c>
      <c r="C207" s="86">
        <f>A204*sales_collected_60days</f>
        <v>0</v>
      </c>
      <c r="D207" s="86"/>
      <c r="E207" s="86">
        <f t="shared" ref="E207:AJ207" si="37">C204*sales_collected_60days</f>
        <v>0</v>
      </c>
      <c r="F207" s="86">
        <f t="shared" si="37"/>
        <v>0</v>
      </c>
      <c r="G207" s="86">
        <f t="shared" si="37"/>
        <v>0</v>
      </c>
      <c r="H207" s="86">
        <f t="shared" si="37"/>
        <v>0</v>
      </c>
      <c r="I207" s="86">
        <f t="shared" si="37"/>
        <v>0</v>
      </c>
      <c r="J207" s="86">
        <f t="shared" si="37"/>
        <v>0</v>
      </c>
      <c r="K207" s="86">
        <f t="shared" si="37"/>
        <v>0</v>
      </c>
      <c r="L207" s="86">
        <f t="shared" si="37"/>
        <v>0</v>
      </c>
      <c r="M207" s="86">
        <f t="shared" si="37"/>
        <v>0</v>
      </c>
      <c r="N207" s="86">
        <f t="shared" si="37"/>
        <v>0</v>
      </c>
      <c r="O207" s="86">
        <f t="shared" si="37"/>
        <v>0</v>
      </c>
      <c r="P207" s="86">
        <f t="shared" si="37"/>
        <v>0</v>
      </c>
      <c r="Q207" s="86">
        <f t="shared" si="37"/>
        <v>0</v>
      </c>
      <c r="R207" s="86">
        <f t="shared" si="37"/>
        <v>0</v>
      </c>
      <c r="S207" s="86">
        <f t="shared" si="37"/>
        <v>0</v>
      </c>
      <c r="T207" s="86">
        <f t="shared" si="37"/>
        <v>0</v>
      </c>
      <c r="U207" s="86">
        <f t="shared" si="37"/>
        <v>0</v>
      </c>
      <c r="V207" s="86">
        <f t="shared" si="37"/>
        <v>0</v>
      </c>
      <c r="W207" s="86">
        <f t="shared" si="37"/>
        <v>0</v>
      </c>
      <c r="X207" s="86">
        <f t="shared" si="37"/>
        <v>0</v>
      </c>
      <c r="Y207" s="86">
        <f t="shared" si="37"/>
        <v>0</v>
      </c>
      <c r="Z207" s="86">
        <f t="shared" si="37"/>
        <v>0</v>
      </c>
      <c r="AA207" s="86">
        <f t="shared" si="37"/>
        <v>0</v>
      </c>
      <c r="AB207" s="86">
        <f t="shared" si="37"/>
        <v>0</v>
      </c>
      <c r="AC207" s="86">
        <f t="shared" si="37"/>
        <v>0</v>
      </c>
      <c r="AD207" s="86">
        <f t="shared" si="37"/>
        <v>0</v>
      </c>
      <c r="AE207" s="86">
        <f t="shared" si="37"/>
        <v>0</v>
      </c>
      <c r="AF207" s="86">
        <f t="shared" si="37"/>
        <v>0</v>
      </c>
      <c r="AG207" s="86">
        <f t="shared" si="37"/>
        <v>0</v>
      </c>
      <c r="AH207" s="86">
        <f t="shared" si="37"/>
        <v>0</v>
      </c>
      <c r="AI207" s="86">
        <f t="shared" si="37"/>
        <v>0</v>
      </c>
      <c r="AJ207" s="86">
        <f t="shared" si="37"/>
        <v>0</v>
      </c>
      <c r="AK207" s="86">
        <f t="shared" ref="AK207:BM207" si="38">AI204*sales_collected_60days</f>
        <v>0</v>
      </c>
      <c r="AL207" s="86">
        <f t="shared" si="38"/>
        <v>0</v>
      </c>
      <c r="AM207" s="86">
        <f t="shared" si="38"/>
        <v>0</v>
      </c>
      <c r="AN207" s="86">
        <f t="shared" si="38"/>
        <v>0</v>
      </c>
      <c r="AO207" s="86">
        <f t="shared" si="38"/>
        <v>0</v>
      </c>
      <c r="AP207" s="86">
        <f t="shared" si="38"/>
        <v>0</v>
      </c>
      <c r="AQ207" s="86">
        <f t="shared" si="38"/>
        <v>0</v>
      </c>
      <c r="AR207" s="86">
        <f t="shared" si="38"/>
        <v>0</v>
      </c>
      <c r="AS207" s="86">
        <f t="shared" si="38"/>
        <v>0</v>
      </c>
      <c r="AT207" s="86">
        <f t="shared" si="38"/>
        <v>0</v>
      </c>
      <c r="AU207" s="86">
        <f t="shared" si="38"/>
        <v>0</v>
      </c>
      <c r="AV207" s="86">
        <f t="shared" si="38"/>
        <v>0</v>
      </c>
      <c r="AW207" s="86">
        <f t="shared" si="38"/>
        <v>0</v>
      </c>
      <c r="AX207" s="86">
        <f t="shared" si="38"/>
        <v>0</v>
      </c>
      <c r="AY207" s="86">
        <f t="shared" si="38"/>
        <v>0</v>
      </c>
      <c r="AZ207" s="86">
        <f t="shared" si="38"/>
        <v>0</v>
      </c>
      <c r="BA207" s="86">
        <f t="shared" si="38"/>
        <v>0</v>
      </c>
      <c r="BB207" s="86">
        <f t="shared" si="38"/>
        <v>0</v>
      </c>
      <c r="BC207" s="86">
        <f t="shared" si="38"/>
        <v>0</v>
      </c>
      <c r="BD207" s="86">
        <f t="shared" si="38"/>
        <v>0</v>
      </c>
      <c r="BE207" s="86">
        <f t="shared" si="38"/>
        <v>0</v>
      </c>
      <c r="BF207" s="86">
        <f t="shared" si="38"/>
        <v>0</v>
      </c>
      <c r="BG207" s="86">
        <f t="shared" si="38"/>
        <v>0</v>
      </c>
      <c r="BH207" s="86">
        <f t="shared" si="38"/>
        <v>0</v>
      </c>
      <c r="BI207" s="86">
        <f t="shared" si="38"/>
        <v>0</v>
      </c>
      <c r="BJ207" s="86">
        <f t="shared" si="38"/>
        <v>0</v>
      </c>
      <c r="BK207" s="86">
        <f t="shared" si="38"/>
        <v>0</v>
      </c>
      <c r="BL207" s="86">
        <f t="shared" si="38"/>
        <v>0</v>
      </c>
      <c r="BM207" s="86">
        <f t="shared" si="38"/>
        <v>0</v>
      </c>
      <c r="BN207" s="60"/>
      <c r="BO207" s="60"/>
      <c r="BP207" s="60"/>
      <c r="BQ207" s="60"/>
      <c r="BR207" s="60"/>
      <c r="BS207" s="60"/>
      <c r="BT207" s="60"/>
    </row>
    <row r="208" spans="2:72" x14ac:dyDescent="0.25">
      <c r="B208" s="88" t="s">
        <v>143</v>
      </c>
      <c r="C208" s="60"/>
      <c r="D208" s="60"/>
      <c r="E208" s="60"/>
      <c r="F208" s="60"/>
      <c r="G208" s="60"/>
      <c r="H208" s="60"/>
      <c r="I208" s="60"/>
      <c r="J208" s="60"/>
      <c r="K208" s="60"/>
      <c r="L208" s="60"/>
      <c r="M208" s="60"/>
      <c r="N208" s="60"/>
      <c r="O208" s="60"/>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60"/>
      <c r="BO208" s="60"/>
      <c r="BP208" s="60"/>
      <c r="BQ208" s="60"/>
      <c r="BR208" s="60"/>
      <c r="BS208" s="60"/>
      <c r="BT208" s="60"/>
    </row>
    <row r="209" spans="2:72" x14ac:dyDescent="0.25">
      <c r="B209" s="88" t="s">
        <v>120</v>
      </c>
      <c r="C209" s="86">
        <f t="shared" ref="C209:H209" si="39">SUM(C205:C206)</f>
        <v>0</v>
      </c>
      <c r="D209" s="86">
        <f t="shared" si="39"/>
        <v>4750</v>
      </c>
      <c r="E209" s="86">
        <f t="shared" si="39"/>
        <v>0</v>
      </c>
      <c r="F209" s="86">
        <f t="shared" si="39"/>
        <v>0</v>
      </c>
      <c r="G209" s="86">
        <f t="shared" si="39"/>
        <v>0</v>
      </c>
      <c r="H209" s="86">
        <f t="shared" si="39"/>
        <v>2375</v>
      </c>
      <c r="I209" s="86">
        <f>SUM(I205:I208)</f>
        <v>2375</v>
      </c>
      <c r="J209" s="86">
        <f t="shared" ref="J209:BK209" si="40">SUM(J205:J208)</f>
        <v>2375</v>
      </c>
      <c r="K209" s="86">
        <f t="shared" si="40"/>
        <v>2375</v>
      </c>
      <c r="L209" s="86">
        <f>SUM(L205:L208)</f>
        <v>2375</v>
      </c>
      <c r="M209" s="86">
        <f t="shared" si="40"/>
        <v>2375</v>
      </c>
      <c r="N209" s="86">
        <f t="shared" si="40"/>
        <v>2375</v>
      </c>
      <c r="O209" s="86">
        <f t="shared" si="40"/>
        <v>2375</v>
      </c>
      <c r="P209" s="86">
        <f t="shared" si="40"/>
        <v>4354.1666666666661</v>
      </c>
      <c r="Q209" s="86">
        <f t="shared" si="40"/>
        <v>4354.1666666666661</v>
      </c>
      <c r="R209" s="86">
        <f t="shared" si="40"/>
        <v>4354.1666666666661</v>
      </c>
      <c r="S209" s="86">
        <f t="shared" si="40"/>
        <v>4354.1666666666661</v>
      </c>
      <c r="T209" s="86">
        <f t="shared" si="40"/>
        <v>4354.1666666666661</v>
      </c>
      <c r="U209" s="86">
        <f t="shared" si="40"/>
        <v>4354.1666666666661</v>
      </c>
      <c r="V209" s="86">
        <f t="shared" si="40"/>
        <v>4354.1666666666661</v>
      </c>
      <c r="W209" s="86">
        <f t="shared" si="40"/>
        <v>4354.1666666666661</v>
      </c>
      <c r="X209" s="86">
        <f t="shared" si="40"/>
        <v>4354.1666666666661</v>
      </c>
      <c r="Y209" s="86">
        <f t="shared" si="40"/>
        <v>4354.1666666666661</v>
      </c>
      <c r="Z209" s="86">
        <f t="shared" si="40"/>
        <v>4354.1666666666661</v>
      </c>
      <c r="AA209" s="86">
        <f t="shared" si="40"/>
        <v>4354.1666666666661</v>
      </c>
      <c r="AB209" s="86">
        <f t="shared" si="40"/>
        <v>4484.7916666666661</v>
      </c>
      <c r="AC209" s="86">
        <f t="shared" si="40"/>
        <v>4484.7916666666661</v>
      </c>
      <c r="AD209" s="86">
        <f t="shared" si="40"/>
        <v>4484.7916666666661</v>
      </c>
      <c r="AE209" s="86">
        <f t="shared" si="40"/>
        <v>4484.7916666666661</v>
      </c>
      <c r="AF209" s="86">
        <f t="shared" si="40"/>
        <v>4484.7916666666661</v>
      </c>
      <c r="AG209" s="86">
        <f t="shared" si="40"/>
        <v>4484.7916666666661</v>
      </c>
      <c r="AH209" s="86">
        <f t="shared" si="40"/>
        <v>4484.7916666666661</v>
      </c>
      <c r="AI209" s="86">
        <f t="shared" si="40"/>
        <v>4484.7916666666661</v>
      </c>
      <c r="AJ209" s="86">
        <f t="shared" si="40"/>
        <v>4484.7916666666661</v>
      </c>
      <c r="AK209" s="86">
        <f t="shared" si="40"/>
        <v>4484.7916666666661</v>
      </c>
      <c r="AL209" s="86">
        <f t="shared" si="40"/>
        <v>4484.7916666666661</v>
      </c>
      <c r="AM209" s="86">
        <f t="shared" si="40"/>
        <v>4484.7916666666661</v>
      </c>
      <c r="AN209" s="86">
        <f t="shared" si="40"/>
        <v>4619.3354166666668</v>
      </c>
      <c r="AO209" s="86">
        <f t="shared" si="40"/>
        <v>4619.3354166666668</v>
      </c>
      <c r="AP209" s="86">
        <f t="shared" si="40"/>
        <v>4619.3354166666668</v>
      </c>
      <c r="AQ209" s="86">
        <f t="shared" si="40"/>
        <v>4619.3354166666668</v>
      </c>
      <c r="AR209" s="86">
        <f t="shared" si="40"/>
        <v>4619.3354166666668</v>
      </c>
      <c r="AS209" s="86">
        <f t="shared" si="40"/>
        <v>4619.3354166666668</v>
      </c>
      <c r="AT209" s="86">
        <f t="shared" si="40"/>
        <v>4619.3354166666668</v>
      </c>
      <c r="AU209" s="86">
        <f t="shared" si="40"/>
        <v>4619.3354166666668</v>
      </c>
      <c r="AV209" s="86">
        <f t="shared" si="40"/>
        <v>4619.3354166666668</v>
      </c>
      <c r="AW209" s="86">
        <f t="shared" si="40"/>
        <v>4619.3354166666668</v>
      </c>
      <c r="AX209" s="86">
        <f t="shared" si="40"/>
        <v>4619.3354166666668</v>
      </c>
      <c r="AY209" s="86">
        <f t="shared" si="40"/>
        <v>4619.3354166666668</v>
      </c>
      <c r="AZ209" s="86">
        <f t="shared" si="40"/>
        <v>4757.915479166666</v>
      </c>
      <c r="BA209" s="86">
        <f t="shared" si="40"/>
        <v>4757.915479166666</v>
      </c>
      <c r="BB209" s="86">
        <f t="shared" si="40"/>
        <v>4757.915479166666</v>
      </c>
      <c r="BC209" s="86">
        <f t="shared" si="40"/>
        <v>4757.915479166666</v>
      </c>
      <c r="BD209" s="86">
        <f t="shared" si="40"/>
        <v>4757.915479166666</v>
      </c>
      <c r="BE209" s="86">
        <f t="shared" si="40"/>
        <v>4757.915479166666</v>
      </c>
      <c r="BF209" s="86">
        <f t="shared" si="40"/>
        <v>4757.915479166666</v>
      </c>
      <c r="BG209" s="86">
        <f t="shared" si="40"/>
        <v>4757.915479166666</v>
      </c>
      <c r="BH209" s="86">
        <f t="shared" si="40"/>
        <v>4757.915479166666</v>
      </c>
      <c r="BI209" s="86">
        <f t="shared" si="40"/>
        <v>4757.915479166666</v>
      </c>
      <c r="BJ209" s="86">
        <f t="shared" si="40"/>
        <v>4757.915479166666</v>
      </c>
      <c r="BK209" s="86">
        <f t="shared" si="40"/>
        <v>4757.915479166666</v>
      </c>
      <c r="BL209" s="86"/>
      <c r="BM209" s="86"/>
      <c r="BN209" s="60"/>
      <c r="BO209" s="60"/>
      <c r="BP209" s="60"/>
      <c r="BQ209" s="60"/>
      <c r="BR209" s="60"/>
      <c r="BS209" s="60"/>
      <c r="BT209" s="60"/>
    </row>
    <row r="210" spans="2:72" x14ac:dyDescent="0.25">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row>
    <row r="211" spans="2:72" x14ac:dyDescent="0.25">
      <c r="B211" s="60"/>
      <c r="C211" s="60"/>
      <c r="D211" s="60"/>
      <c r="E211" s="60"/>
      <c r="F211" s="60"/>
      <c r="G211" s="60"/>
      <c r="H211" s="60"/>
      <c r="I211" s="86"/>
      <c r="J211" s="86"/>
      <c r="K211" s="86"/>
      <c r="L211" s="86"/>
      <c r="M211" s="86"/>
      <c r="N211" s="86"/>
      <c r="O211" s="86"/>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row>
    <row r="212" spans="2:72" x14ac:dyDescent="0.25">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row>
    <row r="213" spans="2:72" x14ac:dyDescent="0.25">
      <c r="B213" s="60"/>
      <c r="C213" s="60"/>
      <c r="D213" s="60"/>
      <c r="E213" s="60"/>
      <c r="F213" s="60"/>
      <c r="G213" s="60"/>
      <c r="H213" s="60"/>
      <c r="I213" s="60"/>
      <c r="J213" s="60"/>
      <c r="K213" s="60"/>
      <c r="L213" s="60"/>
      <c r="M213" s="60"/>
      <c r="N213" s="60"/>
      <c r="O213" s="86"/>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row>
    <row r="214" spans="2:72" x14ac:dyDescent="0.25">
      <c r="B214" s="88"/>
      <c r="C214" s="60"/>
      <c r="D214" s="60"/>
      <c r="E214" s="60"/>
      <c r="F214" s="60"/>
      <c r="G214" s="60"/>
      <c r="H214" s="60"/>
      <c r="I214" s="86"/>
      <c r="J214" s="86"/>
      <c r="K214" s="86"/>
      <c r="L214" s="86"/>
      <c r="M214" s="86"/>
      <c r="N214" s="86"/>
      <c r="O214" s="86"/>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row>
    <row r="215" spans="2:72" x14ac:dyDescent="0.25">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row>
    <row r="216" spans="2:72" x14ac:dyDescent="0.25">
      <c r="B216" s="60"/>
      <c r="C216" s="60"/>
      <c r="D216" s="60"/>
      <c r="E216" s="60"/>
      <c r="F216" s="60"/>
      <c r="G216" s="60"/>
      <c r="H216" s="60"/>
      <c r="I216" s="60"/>
      <c r="J216" s="60"/>
      <c r="K216" s="60"/>
      <c r="L216" s="60"/>
      <c r="M216" s="60"/>
      <c r="N216" s="60"/>
      <c r="O216" s="60"/>
      <c r="P216" s="86"/>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row>
    <row r="217" spans="2:72" x14ac:dyDescent="0.25">
      <c r="B217" s="60"/>
      <c r="C217" s="60"/>
      <c r="D217" s="60"/>
      <c r="E217" s="60"/>
      <c r="F217" s="60"/>
      <c r="G217" s="60"/>
      <c r="H217" s="60"/>
      <c r="I217" s="60"/>
      <c r="J217" s="86"/>
      <c r="K217" s="60"/>
      <c r="L217" s="60"/>
      <c r="M217" s="60"/>
      <c r="N217" s="60"/>
      <c r="O217" s="86"/>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row>
    <row r="218" spans="2:72" x14ac:dyDescent="0.25">
      <c r="O218" s="76"/>
    </row>
    <row r="219" spans="2:72" x14ac:dyDescent="0.25">
      <c r="O219" s="76"/>
    </row>
    <row r="221" spans="2:72" x14ac:dyDescent="0.25">
      <c r="O221" s="77"/>
    </row>
    <row r="222" spans="2:72" x14ac:dyDescent="0.25">
      <c r="O222" s="77"/>
    </row>
  </sheetData>
  <phoneticPr fontId="4" type="noConversion"/>
  <pageMargins left="0.75" right="0.75" top="1" bottom="1" header="0.5" footer="0.5"/>
  <pageSetup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051288C-E18F-4A8D-9D47-97A402A4A4E3}">
          <x14:formula1>
            <xm:f>'Loan Amortization Schedule'!$G$13:$G$25</xm:f>
          </x14:formula1>
          <xm:sqref>D26</xm:sqref>
        </x14:dataValidation>
        <x14:dataValidation type="list" allowBlank="1" showInputMessage="1" showErrorMessage="1" xr:uid="{2D3FC13C-73CC-4652-98F8-ACC27941C487}">
          <x14:formula1>
            <xm:f>'Loan Amortization Schedule'!$B$14:$B$73</xm:f>
          </x14:formula1>
          <xm:sqref>D27</xm:sqref>
        </x14:dataValidation>
      </x14:dataValidations>
    </ext>
    <ext xmlns:x14="http://schemas.microsoft.com/office/spreadsheetml/2009/9/main" uri="{05C60535-1F16-4fd2-B633-F4F36F0B64E0}">
      <x14:sparklineGroups xmlns:xm="http://schemas.microsoft.com/office/excel/2006/main">
        <x14:sparklineGroup type="column" displayEmptyCellsAs="gap" high="1" xr2:uid="{7BC2F824-9E85-4C8A-8906-66BDFA11369A}">
          <x14:colorSeries rgb="FF376092"/>
          <x14:colorNegative rgb="FFD00000"/>
          <x14:colorAxis rgb="FF000000"/>
          <x14:colorMarkers rgb="FFD00000"/>
          <x14:colorFirst rgb="FFD00000"/>
          <x14:colorLast rgb="FFD00000"/>
          <x14:colorHigh rgb="FFD00000"/>
          <x14:colorLow rgb="FFD00000"/>
          <x14:sparklines>
            <x14:sparkline>
              <xm:f>'Financial Projections'!M41:Q41</xm:f>
              <xm:sqref>R41</xm:sqref>
            </x14:sparkline>
            <x14:sparkline>
              <xm:f>'Financial Projections'!M42:Q42</xm:f>
              <xm:sqref>R42</xm:sqref>
            </x14:sparkline>
            <x14:sparkline>
              <xm:f>'Financial Projections'!M43:Q43</xm:f>
              <xm:sqref>R43</xm:sqref>
            </x14:sparkline>
            <x14:sparkline>
              <xm:f>'Financial Projections'!M44:Q44</xm:f>
              <xm:sqref>R44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N413"/>
  <sheetViews>
    <sheetView topLeftCell="A51" workbookViewId="0">
      <selection activeCell="A50" sqref="A50"/>
    </sheetView>
  </sheetViews>
  <sheetFormatPr defaultRowHeight="13.2" x14ac:dyDescent="0.25"/>
  <cols>
    <col min="1" max="1" width="15.21875" customWidth="1"/>
    <col min="2" max="2" width="10" customWidth="1"/>
    <col min="3" max="3" width="9.77734375" customWidth="1"/>
    <col min="4" max="4" width="10.6640625" bestFit="1" customWidth="1"/>
    <col min="5" max="5" width="9.77734375" customWidth="1"/>
    <col min="6" max="6" width="11" customWidth="1"/>
    <col min="7" max="7" width="10.5546875" customWidth="1"/>
    <col min="8" max="8" width="14.21875" customWidth="1"/>
    <col min="9" max="9" width="11" customWidth="1"/>
    <col min="10" max="10" width="9.44140625" customWidth="1"/>
    <col min="11" max="11" width="9.5546875" bestFit="1" customWidth="1"/>
    <col min="12" max="12" width="9.5546875" customWidth="1"/>
    <col min="13" max="13" width="9.44140625" customWidth="1"/>
    <col min="14" max="14" width="10.21875" customWidth="1"/>
    <col min="15" max="15" width="9.5546875" customWidth="1"/>
    <col min="16" max="16" width="11.5546875" customWidth="1"/>
  </cols>
  <sheetData>
    <row r="1" spans="1:66" x14ac:dyDescent="0.25">
      <c r="A1" s="1" t="s">
        <v>47</v>
      </c>
      <c r="B1" s="42"/>
      <c r="C1" s="42"/>
      <c r="D1" s="2"/>
      <c r="H1" s="11"/>
      <c r="I1" s="11"/>
      <c r="J1" s="11"/>
      <c r="K1" s="11"/>
      <c r="L1" s="11"/>
      <c r="M1" s="11"/>
      <c r="N1" s="4"/>
      <c r="O1" s="11"/>
      <c r="P1" s="4"/>
      <c r="Q1" s="139"/>
    </row>
    <row r="2" spans="1:66" x14ac:dyDescent="0.25">
      <c r="A2" s="7" t="s">
        <v>48</v>
      </c>
      <c r="B2" s="15">
        <f>'Financial Projections'!D25</f>
        <v>50000</v>
      </c>
      <c r="C2" s="42"/>
      <c r="D2" s="9"/>
      <c r="H2" s="141"/>
      <c r="I2" s="141"/>
      <c r="J2" s="141"/>
      <c r="K2" s="141"/>
      <c r="L2" s="141"/>
      <c r="M2" s="141"/>
      <c r="N2" s="141"/>
      <c r="O2" s="11"/>
      <c r="P2" s="11"/>
      <c r="Q2" s="11"/>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row>
    <row r="3" spans="1:66" x14ac:dyDescent="0.25">
      <c r="A3" s="8" t="s">
        <v>49</v>
      </c>
      <c r="B3" s="44">
        <v>0.1</v>
      </c>
      <c r="C3" s="11">
        <f>B3/12</f>
        <v>8.3333333333333332E-3</v>
      </c>
      <c r="D3" s="29"/>
      <c r="H3" s="142"/>
      <c r="I3" s="142"/>
      <c r="J3" s="142"/>
      <c r="K3" s="142"/>
      <c r="L3" s="142"/>
      <c r="M3" s="142"/>
      <c r="N3" s="142"/>
      <c r="O3" s="11"/>
      <c r="P3" s="11"/>
      <c r="Q3" s="11"/>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row>
    <row r="4" spans="1:66" x14ac:dyDescent="0.25">
      <c r="A4" s="7" t="s">
        <v>50</v>
      </c>
      <c r="B4" s="9">
        <f>'Financial Projections'!D27</f>
        <v>60</v>
      </c>
      <c r="C4" s="42"/>
      <c r="D4" s="9"/>
      <c r="H4" s="142"/>
      <c r="I4" s="142"/>
      <c r="J4" s="142"/>
      <c r="K4" s="142"/>
      <c r="L4" s="142"/>
      <c r="M4" s="142"/>
      <c r="N4" s="142"/>
      <c r="O4" s="11"/>
      <c r="P4" s="11"/>
      <c r="Q4" s="11"/>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row r="5" spans="1:66" x14ac:dyDescent="0.25">
      <c r="A5" s="7" t="s">
        <v>51</v>
      </c>
      <c r="B5" s="45">
        <f>PMT(C3,B4,B2,0,0)</f>
        <v>-1062.3522355634138</v>
      </c>
      <c r="C5" s="42"/>
      <c r="D5" s="9"/>
      <c r="H5" s="142"/>
      <c r="I5" s="142"/>
      <c r="J5" s="142"/>
      <c r="K5" s="142"/>
      <c r="L5" s="142"/>
      <c r="M5" s="142"/>
      <c r="N5" s="142"/>
      <c r="O5" s="11"/>
      <c r="P5" s="11"/>
      <c r="Q5" s="11"/>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row>
    <row r="6" spans="1:66" x14ac:dyDescent="0.25">
      <c r="A6" s="8"/>
      <c r="B6" s="11"/>
      <c r="H6" s="142"/>
      <c r="I6" s="142"/>
      <c r="J6" s="142"/>
      <c r="K6" s="142"/>
      <c r="L6" s="142"/>
      <c r="M6" s="142"/>
      <c r="N6" s="142"/>
      <c r="O6" s="11"/>
      <c r="P6" s="11"/>
      <c r="Q6" s="11"/>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x14ac:dyDescent="0.25">
      <c r="A7" s="8"/>
      <c r="H7" s="142"/>
      <c r="I7" s="142"/>
      <c r="J7" s="142"/>
      <c r="K7" s="142"/>
      <c r="L7" s="142"/>
      <c r="M7" s="142"/>
      <c r="N7" s="142"/>
      <c r="O7" s="11"/>
      <c r="P7" s="11"/>
      <c r="Q7" s="11"/>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row>
    <row r="8" spans="1:66" x14ac:dyDescent="0.25">
      <c r="H8" s="142"/>
      <c r="I8" s="142"/>
      <c r="J8" s="142"/>
      <c r="K8" s="142"/>
      <c r="L8" s="142"/>
      <c r="M8" s="142"/>
      <c r="N8" s="142"/>
      <c r="O8" s="11"/>
      <c r="P8" s="11"/>
      <c r="Q8" s="11"/>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row>
    <row r="9" spans="1:66" x14ac:dyDescent="0.25">
      <c r="H9" s="10"/>
      <c r="I9" s="10"/>
      <c r="J9" s="10"/>
      <c r="K9" s="10"/>
      <c r="L9" s="10"/>
      <c r="M9" s="10"/>
      <c r="N9" s="142"/>
      <c r="O9" s="11"/>
      <c r="P9" s="11"/>
      <c r="Q9" s="11"/>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row>
    <row r="10" spans="1:66" x14ac:dyDescent="0.25">
      <c r="H10" s="10"/>
      <c r="I10" s="10"/>
      <c r="J10" s="10"/>
      <c r="K10" s="10"/>
      <c r="L10" s="10"/>
      <c r="M10" s="20"/>
      <c r="N10" s="10"/>
      <c r="O10" s="11"/>
      <c r="P10" s="11"/>
      <c r="Q10" s="11"/>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row>
    <row r="11" spans="1:66" x14ac:dyDescent="0.25">
      <c r="D11" s="46" t="s">
        <v>52</v>
      </c>
      <c r="E11" s="5" t="s">
        <v>53</v>
      </c>
      <c r="F11" s="58"/>
      <c r="H11" s="10"/>
      <c r="I11" s="10"/>
      <c r="J11" s="10"/>
      <c r="K11" s="10"/>
      <c r="L11" s="10"/>
      <c r="M11" s="20"/>
      <c r="N11" s="10"/>
      <c r="O11" s="10"/>
      <c r="P11" s="11"/>
      <c r="Q11" s="11"/>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row>
    <row r="12" spans="1:66" x14ac:dyDescent="0.25">
      <c r="C12" s="58" t="s">
        <v>164</v>
      </c>
      <c r="D12" s="47" t="s">
        <v>28</v>
      </c>
      <c r="E12" s="13"/>
      <c r="F12" s="11" t="s">
        <v>163</v>
      </c>
      <c r="H12" s="10"/>
      <c r="I12" s="10"/>
      <c r="J12" s="10"/>
      <c r="K12" s="10"/>
      <c r="L12" s="10"/>
      <c r="M12" s="20"/>
      <c r="N12" s="10"/>
      <c r="O12" s="11"/>
      <c r="P12" s="22"/>
      <c r="Q12" s="11"/>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row>
    <row r="13" spans="1:66" ht="13.8" thickBot="1" x14ac:dyDescent="0.3">
      <c r="F13" s="21">
        <f>B2</f>
        <v>50000</v>
      </c>
      <c r="G13" s="59" t="s">
        <v>168</v>
      </c>
      <c r="H13" s="10"/>
      <c r="I13" s="10"/>
      <c r="J13" s="10"/>
      <c r="K13" s="10"/>
      <c r="L13" s="10"/>
      <c r="M13" s="20"/>
      <c r="N13" s="10"/>
      <c r="O13" s="4"/>
      <c r="P13" s="140"/>
      <c r="Q13" s="11"/>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row>
    <row r="14" spans="1:66" ht="13.8" thickBot="1" x14ac:dyDescent="0.3">
      <c r="A14" s="6" t="s">
        <v>38</v>
      </c>
      <c r="B14" s="5">
        <v>1</v>
      </c>
      <c r="C14" s="57">
        <f>-B5</f>
        <v>1062.3522355634138</v>
      </c>
      <c r="D14" s="17">
        <f t="shared" ref="D14:D45" si="0">F13*C$3</f>
        <v>416.66666666666669</v>
      </c>
      <c r="E14" s="17">
        <f>C14-D14</f>
        <v>645.6855688967471</v>
      </c>
      <c r="F14" s="48">
        <f>F13-E14</f>
        <v>49354.314431103252</v>
      </c>
      <c r="G14" s="59" t="s">
        <v>38</v>
      </c>
      <c r="H14" s="10"/>
      <c r="I14" s="10"/>
      <c r="J14" s="10"/>
      <c r="K14" s="10"/>
      <c r="L14" s="10"/>
      <c r="M14" s="20"/>
      <c r="N14" s="10"/>
      <c r="O14" s="4"/>
      <c r="P14" s="140"/>
      <c r="Q14" s="11"/>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row>
    <row r="15" spans="1:66" ht="13.8" thickBot="1" x14ac:dyDescent="0.3">
      <c r="A15" s="184"/>
      <c r="B15" s="49">
        <v>2</v>
      </c>
      <c r="C15" s="57">
        <f>IF(F14&lt;1,0,-$B$5)</f>
        <v>1062.3522355634138</v>
      </c>
      <c r="D15" s="17">
        <f t="shared" si="0"/>
        <v>411.28595359252711</v>
      </c>
      <c r="E15" s="17">
        <f t="shared" ref="E15:E46" si="1">IF(B15&gt;$B$4,0,(-$B$5-D15))</f>
        <v>651.06628197088673</v>
      </c>
      <c r="F15" s="48">
        <f t="shared" ref="F15:F78" si="2">F14-E15</f>
        <v>48703.248149132363</v>
      </c>
      <c r="G15" s="59" t="s">
        <v>39</v>
      </c>
      <c r="H15" s="10"/>
      <c r="I15" s="10"/>
      <c r="J15" s="10"/>
      <c r="K15" s="10"/>
      <c r="L15" s="10"/>
      <c r="M15" s="20"/>
      <c r="N15" s="10"/>
      <c r="O15" s="11"/>
      <c r="P15" s="11"/>
      <c r="Q15" s="11"/>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row>
    <row r="16" spans="1:66" ht="13.8" thickBot="1" x14ac:dyDescent="0.3">
      <c r="A16" s="11"/>
      <c r="B16" s="54">
        <v>3</v>
      </c>
      <c r="C16" s="57">
        <f t="shared" ref="C16:C79" si="3">IF(F15&lt;1,0,-$B$5)</f>
        <v>1062.3522355634138</v>
      </c>
      <c r="D16" s="17">
        <f t="shared" si="0"/>
        <v>405.86040124276968</v>
      </c>
      <c r="E16" s="17">
        <f t="shared" si="1"/>
        <v>656.4918343206441</v>
      </c>
      <c r="F16" s="48">
        <f t="shared" si="2"/>
        <v>48046.756314811719</v>
      </c>
      <c r="G16" s="59" t="s">
        <v>40</v>
      </c>
      <c r="H16" s="10"/>
      <c r="I16" s="10"/>
      <c r="J16" s="10"/>
      <c r="K16" s="10"/>
      <c r="L16" s="10"/>
      <c r="M16" s="20"/>
      <c r="N16" s="10"/>
      <c r="O16" s="11"/>
      <c r="P16" s="11"/>
      <c r="Q16" s="11"/>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row>
    <row r="17" spans="1:66" ht="13.8" thickBot="1" x14ac:dyDescent="0.3">
      <c r="A17" s="11"/>
      <c r="B17" s="14">
        <v>4</v>
      </c>
      <c r="C17" s="57">
        <f t="shared" si="3"/>
        <v>1062.3522355634138</v>
      </c>
      <c r="D17" s="17">
        <f t="shared" si="0"/>
        <v>400.38963595676432</v>
      </c>
      <c r="E17" s="17">
        <f t="shared" si="1"/>
        <v>661.96259960664952</v>
      </c>
      <c r="F17" s="48">
        <f t="shared" si="2"/>
        <v>47384.793715205073</v>
      </c>
      <c r="G17" s="216" t="s">
        <v>127</v>
      </c>
      <c r="H17" s="10"/>
      <c r="I17" s="10"/>
      <c r="J17" s="10"/>
      <c r="K17" s="10"/>
      <c r="L17" s="10"/>
      <c r="M17" s="10"/>
      <c r="N17" s="10"/>
      <c r="O17" s="11"/>
      <c r="P17" s="11"/>
      <c r="Q17" s="11"/>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row>
    <row r="18" spans="1:66" ht="13.8" thickBot="1" x14ac:dyDescent="0.3">
      <c r="A18" s="11"/>
      <c r="B18" s="54">
        <v>5</v>
      </c>
      <c r="C18" s="57">
        <f t="shared" si="3"/>
        <v>1062.3522355634138</v>
      </c>
      <c r="D18" s="17">
        <f t="shared" si="0"/>
        <v>394.87328096004228</v>
      </c>
      <c r="E18" s="17">
        <f t="shared" si="1"/>
        <v>667.47895460337156</v>
      </c>
      <c r="F18" s="48">
        <f t="shared" si="2"/>
        <v>46717.314760601701</v>
      </c>
      <c r="G18" s="59" t="s">
        <v>41</v>
      </c>
      <c r="H18" s="10"/>
      <c r="I18" s="10"/>
      <c r="J18" s="10"/>
      <c r="K18" s="10"/>
      <c r="L18" s="10"/>
      <c r="M18" s="10"/>
      <c r="N18" s="10"/>
      <c r="O18" s="11"/>
      <c r="P18" s="173"/>
      <c r="Q18" s="11"/>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row>
    <row r="19" spans="1:66" ht="13.8" thickBot="1" x14ac:dyDescent="0.3">
      <c r="A19" s="11"/>
      <c r="B19" s="14">
        <v>6</v>
      </c>
      <c r="C19" s="57">
        <f t="shared" si="3"/>
        <v>1062.3522355634138</v>
      </c>
      <c r="D19" s="17">
        <f t="shared" si="0"/>
        <v>389.31095633834752</v>
      </c>
      <c r="E19" s="17">
        <f t="shared" si="1"/>
        <v>673.04127922506632</v>
      </c>
      <c r="F19" s="48">
        <f t="shared" si="2"/>
        <v>46044.273481376636</v>
      </c>
      <c r="G19" s="59" t="s">
        <v>128</v>
      </c>
      <c r="H19" s="10"/>
      <c r="I19" s="10"/>
      <c r="J19" s="10"/>
      <c r="K19" s="10"/>
      <c r="L19" s="11"/>
      <c r="M19" s="10"/>
      <c r="N19" s="10"/>
      <c r="O19" s="4"/>
      <c r="P19" s="10"/>
      <c r="Q19" s="11"/>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row>
    <row r="20" spans="1:66" ht="13.8" thickBot="1" x14ac:dyDescent="0.3">
      <c r="A20" s="11"/>
      <c r="B20" s="54">
        <v>7</v>
      </c>
      <c r="C20" s="57">
        <f t="shared" si="3"/>
        <v>1062.3522355634138</v>
      </c>
      <c r="D20" s="17">
        <f t="shared" si="0"/>
        <v>383.70227901147194</v>
      </c>
      <c r="E20" s="17">
        <f t="shared" si="1"/>
        <v>678.64995655194184</v>
      </c>
      <c r="F20" s="48">
        <f t="shared" si="2"/>
        <v>45365.623524824696</v>
      </c>
      <c r="G20" s="216" t="s">
        <v>129</v>
      </c>
      <c r="H20" s="10"/>
      <c r="I20" s="10"/>
      <c r="J20" s="10"/>
      <c r="K20" s="10"/>
      <c r="L20" s="10"/>
      <c r="M20" s="10"/>
      <c r="N20" s="10"/>
      <c r="O20" s="4"/>
      <c r="P20" s="10"/>
      <c r="Q20" s="11"/>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row>
    <row r="21" spans="1:66" ht="13.8" thickBot="1" x14ac:dyDescent="0.3">
      <c r="A21" s="11"/>
      <c r="B21" s="14">
        <v>8</v>
      </c>
      <c r="C21" s="57">
        <f t="shared" si="3"/>
        <v>1062.3522355634138</v>
      </c>
      <c r="D21" s="17">
        <f t="shared" si="0"/>
        <v>378.04686270687245</v>
      </c>
      <c r="E21" s="17">
        <f t="shared" si="1"/>
        <v>684.30537285654145</v>
      </c>
      <c r="F21" s="48">
        <f t="shared" si="2"/>
        <v>44681.318151968153</v>
      </c>
      <c r="G21" s="59" t="s">
        <v>42</v>
      </c>
      <c r="H21" s="10"/>
      <c r="I21" s="10"/>
      <c r="J21" s="10"/>
      <c r="K21" s="10"/>
      <c r="L21" s="10"/>
      <c r="M21" s="10"/>
      <c r="N21" s="10"/>
      <c r="O21" s="4"/>
      <c r="P21" s="174"/>
      <c r="Q21" s="11"/>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row>
    <row r="22" spans="1:66" ht="13.8" thickBot="1" x14ac:dyDescent="0.3">
      <c r="A22" s="11"/>
      <c r="B22" s="54">
        <v>9</v>
      </c>
      <c r="C22" s="57">
        <f t="shared" si="3"/>
        <v>1062.3522355634138</v>
      </c>
      <c r="D22" s="17">
        <f t="shared" si="0"/>
        <v>372.34431793306794</v>
      </c>
      <c r="E22" s="17">
        <f t="shared" si="1"/>
        <v>690.0079176303459</v>
      </c>
      <c r="F22" s="48">
        <f t="shared" si="2"/>
        <v>43991.310234337805</v>
      </c>
      <c r="G22" s="59" t="s">
        <v>112</v>
      </c>
      <c r="H22" s="10"/>
      <c r="I22" s="10"/>
      <c r="J22" s="10"/>
      <c r="K22" s="10"/>
      <c r="L22" s="10"/>
      <c r="M22" s="25"/>
      <c r="N22" s="25"/>
      <c r="O22" s="11"/>
      <c r="P22" s="11"/>
      <c r="Q22" s="11"/>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row>
    <row r="23" spans="1:66" ht="13.8" thickBot="1" x14ac:dyDescent="0.3">
      <c r="A23" s="11"/>
      <c r="B23" s="14">
        <v>10</v>
      </c>
      <c r="C23" s="57">
        <f t="shared" si="3"/>
        <v>1062.3522355634138</v>
      </c>
      <c r="D23" s="17">
        <f t="shared" si="0"/>
        <v>366.59425195281506</v>
      </c>
      <c r="E23" s="17">
        <f t="shared" si="1"/>
        <v>695.75798361059879</v>
      </c>
      <c r="F23" s="48">
        <f t="shared" si="2"/>
        <v>43295.552250727203</v>
      </c>
      <c r="G23" s="59" t="s">
        <v>43</v>
      </c>
      <c r="H23" s="4"/>
      <c r="I23" s="4"/>
      <c r="J23" s="4"/>
      <c r="K23" s="4"/>
      <c r="L23" s="12"/>
      <c r="M23" s="10"/>
      <c r="N23" s="175"/>
      <c r="O23" s="11"/>
      <c r="P23" s="11"/>
      <c r="Q23" s="11"/>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row>
    <row r="24" spans="1:66" ht="13.8" thickBot="1" x14ac:dyDescent="0.3">
      <c r="A24" s="11"/>
      <c r="B24" s="54">
        <v>11</v>
      </c>
      <c r="C24" s="57">
        <f t="shared" si="3"/>
        <v>1062.3522355634138</v>
      </c>
      <c r="D24" s="17">
        <f t="shared" si="0"/>
        <v>360.79626875606004</v>
      </c>
      <c r="E24" s="17">
        <f t="shared" si="1"/>
        <v>701.5559668073538</v>
      </c>
      <c r="F24" s="48">
        <f t="shared" si="2"/>
        <v>42593.996283919849</v>
      </c>
      <c r="G24" s="59" t="s">
        <v>44</v>
      </c>
      <c r="H24" s="10"/>
      <c r="I24" s="10"/>
      <c r="J24" s="10"/>
      <c r="K24" s="10"/>
      <c r="L24" s="10"/>
      <c r="M24" s="10"/>
      <c r="N24" s="175"/>
      <c r="O24" s="11"/>
      <c r="P24" s="11"/>
      <c r="Q24" s="11"/>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row>
    <row r="25" spans="1:66" ht="13.8" thickBot="1" x14ac:dyDescent="0.3">
      <c r="A25" s="11"/>
      <c r="B25" s="181">
        <v>12</v>
      </c>
      <c r="C25" s="57">
        <f t="shared" si="3"/>
        <v>1062.3522355634138</v>
      </c>
      <c r="D25" s="17">
        <f t="shared" si="0"/>
        <v>354.94996903266542</v>
      </c>
      <c r="E25" s="17">
        <f t="shared" si="1"/>
        <v>707.40226653074842</v>
      </c>
      <c r="F25" s="48">
        <f t="shared" si="2"/>
        <v>41886.594017389099</v>
      </c>
      <c r="G25" s="59" t="s">
        <v>45</v>
      </c>
      <c r="H25" s="10"/>
      <c r="I25" s="10"/>
      <c r="J25" s="10"/>
      <c r="K25" s="10"/>
      <c r="L25" s="10"/>
      <c r="M25" s="10"/>
      <c r="N25" s="175"/>
      <c r="O25" s="11"/>
      <c r="P25" s="11"/>
      <c r="Q25" s="11"/>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row>
    <row r="26" spans="1:66" ht="13.8" thickBot="1" x14ac:dyDescent="0.3">
      <c r="A26" s="11" t="s">
        <v>174</v>
      </c>
      <c r="B26" s="182">
        <v>13</v>
      </c>
      <c r="C26" s="57">
        <f t="shared" si="3"/>
        <v>1062.3522355634138</v>
      </c>
      <c r="D26" s="17">
        <f>F25*C$3</f>
        <v>349.05495014490918</v>
      </c>
      <c r="E26" s="17">
        <f t="shared" si="1"/>
        <v>713.29728541850466</v>
      </c>
      <c r="F26" s="48">
        <f t="shared" si="2"/>
        <v>41173.296731970593</v>
      </c>
      <c r="H26" s="10"/>
      <c r="I26" s="10"/>
      <c r="J26" s="10"/>
      <c r="K26" s="10"/>
      <c r="L26" s="10"/>
      <c r="M26" s="10"/>
      <c r="N26" s="175"/>
      <c r="O26" s="11"/>
      <c r="P26" s="11"/>
      <c r="Q26" s="11"/>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row>
    <row r="27" spans="1:66" ht="13.8" thickBot="1" x14ac:dyDescent="0.3">
      <c r="A27" s="185"/>
      <c r="B27" s="54">
        <v>14</v>
      </c>
      <c r="C27" s="57">
        <f t="shared" si="3"/>
        <v>1062.3522355634138</v>
      </c>
      <c r="D27" s="17">
        <f t="shared" si="0"/>
        <v>343.11080609975494</v>
      </c>
      <c r="E27" s="17">
        <f t="shared" si="1"/>
        <v>719.24142946365896</v>
      </c>
      <c r="F27" s="48">
        <f t="shared" si="2"/>
        <v>40454.055302506931</v>
      </c>
      <c r="H27" s="143"/>
      <c r="I27" s="143"/>
      <c r="J27" s="143"/>
      <c r="K27" s="143"/>
      <c r="L27" s="10"/>
      <c r="M27" s="10"/>
      <c r="N27" s="175"/>
      <c r="O27" s="11"/>
      <c r="P27" s="11"/>
      <c r="Q27" s="11"/>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row>
    <row r="28" spans="1:66" ht="13.8" thickBot="1" x14ac:dyDescent="0.3">
      <c r="A28" s="11"/>
      <c r="B28" s="14">
        <v>15</v>
      </c>
      <c r="C28" s="57">
        <f t="shared" si="3"/>
        <v>1062.3522355634138</v>
      </c>
      <c r="D28" s="17">
        <f t="shared" si="0"/>
        <v>337.11712752089107</v>
      </c>
      <c r="E28" s="17">
        <f t="shared" si="1"/>
        <v>725.23510804252282</v>
      </c>
      <c r="F28" s="48">
        <f t="shared" si="2"/>
        <v>39728.82019446441</v>
      </c>
      <c r="H28" s="143"/>
      <c r="I28" s="143"/>
      <c r="J28" s="143"/>
      <c r="K28" s="143"/>
      <c r="L28" s="10"/>
      <c r="M28" s="10"/>
      <c r="N28" s="10"/>
      <c r="O28" s="11"/>
      <c r="P28" s="11"/>
      <c r="Q28" s="11"/>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66" ht="13.8" thickBot="1" x14ac:dyDescent="0.3">
      <c r="A29" s="11"/>
      <c r="B29" s="54">
        <v>16</v>
      </c>
      <c r="C29" s="57">
        <f t="shared" si="3"/>
        <v>1062.3522355634138</v>
      </c>
      <c r="D29" s="17">
        <f t="shared" si="0"/>
        <v>331.07350162053672</v>
      </c>
      <c r="E29" s="17">
        <f t="shared" si="1"/>
        <v>731.27873394287712</v>
      </c>
      <c r="F29" s="48">
        <f t="shared" si="2"/>
        <v>38997.541460521534</v>
      </c>
      <c r="H29" s="11"/>
      <c r="I29" s="11"/>
      <c r="J29" s="11"/>
      <c r="K29" s="11"/>
      <c r="L29" s="144"/>
      <c r="M29" s="144"/>
      <c r="N29" s="25"/>
      <c r="O29" s="11"/>
      <c r="P29" s="11"/>
      <c r="Q29" s="11"/>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66" ht="13.8" thickBot="1" x14ac:dyDescent="0.3">
      <c r="A30" s="11"/>
      <c r="B30" s="14">
        <v>17</v>
      </c>
      <c r="C30" s="57">
        <f t="shared" si="3"/>
        <v>1062.3522355634138</v>
      </c>
      <c r="D30" s="17">
        <f t="shared" si="0"/>
        <v>324.9795121710128</v>
      </c>
      <c r="E30" s="17">
        <f t="shared" si="1"/>
        <v>737.37272339240099</v>
      </c>
      <c r="F30" s="48">
        <f t="shared" si="2"/>
        <v>38260.168737129134</v>
      </c>
      <c r="H30" s="4"/>
      <c r="I30" s="4"/>
      <c r="J30" s="4"/>
      <c r="K30" s="4"/>
      <c r="L30" s="4"/>
      <c r="M30" s="4"/>
      <c r="N30" s="4"/>
      <c r="O30" s="11"/>
      <c r="P30" s="11"/>
      <c r="Q30" s="11"/>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66" ht="13.8" thickBot="1" x14ac:dyDescent="0.3">
      <c r="A31" s="11"/>
      <c r="B31" s="54">
        <v>18</v>
      </c>
      <c r="C31" s="57">
        <f t="shared" si="3"/>
        <v>1062.3522355634138</v>
      </c>
      <c r="D31" s="17">
        <f t="shared" si="0"/>
        <v>318.83473947607609</v>
      </c>
      <c r="E31" s="17">
        <f t="shared" si="1"/>
        <v>743.5174960873378</v>
      </c>
      <c r="F31" s="48">
        <f t="shared" si="2"/>
        <v>37516.651241041793</v>
      </c>
      <c r="H31" s="16"/>
      <c r="I31" s="16"/>
      <c r="J31" s="16"/>
      <c r="K31" s="16"/>
      <c r="L31" s="16"/>
      <c r="M31" s="16"/>
      <c r="N31" s="16"/>
      <c r="O31" s="16"/>
      <c r="P31" s="24"/>
      <c r="Q31" s="11"/>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66" ht="13.8" thickBot="1" x14ac:dyDescent="0.3">
      <c r="A32" s="11"/>
      <c r="B32" s="14">
        <v>19</v>
      </c>
      <c r="C32" s="57">
        <f t="shared" si="3"/>
        <v>1062.3522355634138</v>
      </c>
      <c r="D32" s="17">
        <f t="shared" si="0"/>
        <v>312.63876034201496</v>
      </c>
      <c r="E32" s="17">
        <f t="shared" si="1"/>
        <v>749.71347522139888</v>
      </c>
      <c r="F32" s="48">
        <f t="shared" si="2"/>
        <v>36766.937765820396</v>
      </c>
      <c r="H32" s="16"/>
      <c r="I32" s="16"/>
      <c r="J32" s="16"/>
      <c r="K32" s="16"/>
      <c r="L32" s="16"/>
      <c r="M32" s="16"/>
      <c r="N32" s="16"/>
      <c r="O32" s="16"/>
      <c r="P32" s="11"/>
      <c r="Q32" s="11"/>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row r="33" spans="1:66" ht="13.8" thickBot="1" x14ac:dyDescent="0.3">
      <c r="A33" s="11"/>
      <c r="B33" s="54">
        <v>20</v>
      </c>
      <c r="C33" s="57">
        <f t="shared" si="3"/>
        <v>1062.3522355634138</v>
      </c>
      <c r="D33" s="17">
        <f t="shared" si="0"/>
        <v>306.39114804850328</v>
      </c>
      <c r="E33" s="17">
        <f t="shared" si="1"/>
        <v>755.96108751491056</v>
      </c>
      <c r="F33" s="48">
        <f t="shared" si="2"/>
        <v>36010.976678305487</v>
      </c>
      <c r="H33" s="16"/>
      <c r="I33" s="16"/>
      <c r="J33" s="16"/>
      <c r="K33" s="16"/>
      <c r="L33" s="16"/>
      <c r="M33" s="16"/>
      <c r="N33" s="16"/>
      <c r="O33" s="16"/>
      <c r="P33" s="11"/>
      <c r="Q33" s="11"/>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row>
    <row r="34" spans="1:66" ht="13.8" thickBot="1" x14ac:dyDescent="0.3">
      <c r="A34" s="11"/>
      <c r="B34" s="51">
        <v>21</v>
      </c>
      <c r="C34" s="57">
        <f t="shared" si="3"/>
        <v>1062.3522355634138</v>
      </c>
      <c r="D34" s="17">
        <f t="shared" si="0"/>
        <v>300.09147231921241</v>
      </c>
      <c r="E34" s="17">
        <f t="shared" si="1"/>
        <v>762.26076324420137</v>
      </c>
      <c r="F34" s="48">
        <f t="shared" si="2"/>
        <v>35248.715915061286</v>
      </c>
      <c r="H34" s="16"/>
      <c r="I34" s="16"/>
      <c r="J34" s="16"/>
      <c r="K34" s="16"/>
      <c r="L34" s="16"/>
      <c r="M34" s="16"/>
      <c r="N34" s="16"/>
      <c r="O34" s="16"/>
      <c r="P34" s="11"/>
      <c r="Q34" s="11"/>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66" ht="13.8" thickBot="1" x14ac:dyDescent="0.3">
      <c r="A35" s="11"/>
      <c r="B35" s="52">
        <v>22</v>
      </c>
      <c r="C35" s="57">
        <f t="shared" si="3"/>
        <v>1062.3522355634138</v>
      </c>
      <c r="D35" s="17">
        <f t="shared" si="0"/>
        <v>293.73929929217741</v>
      </c>
      <c r="E35" s="17">
        <f t="shared" si="1"/>
        <v>768.61293627123644</v>
      </c>
      <c r="F35" s="48">
        <f t="shared" si="2"/>
        <v>34480.102978790048</v>
      </c>
      <c r="H35" s="16"/>
      <c r="I35" s="16"/>
      <c r="J35" s="16"/>
      <c r="K35" s="16"/>
      <c r="L35" s="16"/>
      <c r="M35" s="16"/>
      <c r="N35" s="16"/>
      <c r="O35" s="23"/>
      <c r="P35" s="11"/>
      <c r="Q35" s="11"/>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66" ht="13.8" thickBot="1" x14ac:dyDescent="0.3">
      <c r="A36" s="11"/>
      <c r="B36" s="52">
        <v>23</v>
      </c>
      <c r="C36" s="57">
        <f t="shared" si="3"/>
        <v>1062.3522355634138</v>
      </c>
      <c r="D36" s="17">
        <f t="shared" si="0"/>
        <v>287.33419148991709</v>
      </c>
      <c r="E36" s="17">
        <f t="shared" si="1"/>
        <v>775.01804407349675</v>
      </c>
      <c r="F36" s="48">
        <f t="shared" si="2"/>
        <v>33705.084934716549</v>
      </c>
      <c r="H36" s="145"/>
      <c r="I36" s="145"/>
      <c r="J36" s="145"/>
      <c r="K36" s="145"/>
      <c r="L36" s="145"/>
      <c r="M36" s="145"/>
      <c r="N36" s="23"/>
      <c r="O36" s="16"/>
      <c r="P36" s="11"/>
      <c r="Q36" s="11"/>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row>
    <row r="37" spans="1:66" ht="13.8" thickBot="1" x14ac:dyDescent="0.3">
      <c r="A37" s="11"/>
      <c r="B37" s="53">
        <v>24</v>
      </c>
      <c r="C37" s="57">
        <f t="shared" si="3"/>
        <v>1062.3522355634138</v>
      </c>
      <c r="D37" s="17">
        <f t="shared" si="0"/>
        <v>280.87570778930456</v>
      </c>
      <c r="E37" s="17">
        <f t="shared" si="1"/>
        <v>781.47652777410929</v>
      </c>
      <c r="F37" s="48">
        <f t="shared" si="2"/>
        <v>32923.60840694244</v>
      </c>
      <c r="H37" s="18"/>
      <c r="I37" s="18"/>
      <c r="J37" s="18"/>
      <c r="K37" s="18"/>
      <c r="L37" s="18"/>
      <c r="M37" s="18"/>
      <c r="N37" s="19"/>
      <c r="O37" s="11"/>
      <c r="P37" s="11"/>
      <c r="Q37" s="11"/>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8" spans="1:66" ht="13.8" thickBot="1" x14ac:dyDescent="0.3">
      <c r="A38" s="11" t="s">
        <v>175</v>
      </c>
      <c r="B38" s="54">
        <v>25</v>
      </c>
      <c r="C38" s="57">
        <f t="shared" si="3"/>
        <v>1062.3522355634138</v>
      </c>
      <c r="D38" s="17">
        <f t="shared" si="0"/>
        <v>274.36340339118698</v>
      </c>
      <c r="E38" s="17">
        <f t="shared" si="1"/>
        <v>787.98883217222692</v>
      </c>
      <c r="F38" s="48">
        <f t="shared" si="2"/>
        <v>32135.619574770211</v>
      </c>
      <c r="H38" s="18"/>
      <c r="I38" s="18"/>
      <c r="J38" s="18"/>
      <c r="K38" s="18"/>
      <c r="L38" s="18"/>
      <c r="M38" s="18"/>
      <c r="N38" s="19"/>
      <c r="O38" s="11"/>
      <c r="P38" s="4"/>
      <c r="Q38" s="11"/>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row>
    <row r="39" spans="1:66" ht="13.8" thickBot="1" x14ac:dyDescent="0.3">
      <c r="A39" s="186"/>
      <c r="B39" s="55">
        <v>26</v>
      </c>
      <c r="C39" s="57">
        <f t="shared" si="3"/>
        <v>1062.3522355634138</v>
      </c>
      <c r="D39" s="17">
        <f t="shared" si="0"/>
        <v>267.79682978975177</v>
      </c>
      <c r="E39" s="17">
        <f t="shared" si="1"/>
        <v>794.55540577366207</v>
      </c>
      <c r="F39" s="48">
        <f t="shared" si="2"/>
        <v>31341.064168996549</v>
      </c>
      <c r="H39" s="145"/>
      <c r="I39" s="145"/>
      <c r="J39" s="145"/>
      <c r="K39" s="145"/>
      <c r="L39" s="145"/>
      <c r="M39" s="145"/>
      <c r="N39" s="16"/>
      <c r="O39" s="11"/>
      <c r="P39" s="11"/>
      <c r="Q39" s="11"/>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row>
    <row r="40" spans="1:66" ht="13.8" thickBot="1" x14ac:dyDescent="0.3">
      <c r="A40" s="11"/>
      <c r="B40" s="52">
        <v>27</v>
      </c>
      <c r="C40" s="57">
        <f t="shared" si="3"/>
        <v>1062.3522355634138</v>
      </c>
      <c r="D40" s="17">
        <f t="shared" si="0"/>
        <v>261.17553474163788</v>
      </c>
      <c r="E40" s="17">
        <f t="shared" si="1"/>
        <v>801.17670082177597</v>
      </c>
      <c r="F40" s="48">
        <f t="shared" si="2"/>
        <v>30539.887468174773</v>
      </c>
      <c r="H40" s="145"/>
      <c r="I40" s="145"/>
      <c r="J40" s="145"/>
      <c r="K40" s="145"/>
      <c r="L40" s="145"/>
      <c r="M40" s="145"/>
      <c r="N40" s="16"/>
      <c r="O40" s="11"/>
      <c r="P40" s="11"/>
      <c r="Q40" s="11"/>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row>
    <row r="41" spans="1:66" ht="13.8" thickBot="1" x14ac:dyDescent="0.3">
      <c r="A41" s="11"/>
      <c r="B41" s="55">
        <v>28</v>
      </c>
      <c r="C41" s="57">
        <f t="shared" si="3"/>
        <v>1062.3522355634138</v>
      </c>
      <c r="D41" s="17">
        <f t="shared" si="0"/>
        <v>254.49906223478976</v>
      </c>
      <c r="E41" s="17">
        <f t="shared" si="1"/>
        <v>807.85317332862405</v>
      </c>
      <c r="F41" s="48">
        <f t="shared" si="2"/>
        <v>29732.034294846148</v>
      </c>
      <c r="H41" s="145"/>
      <c r="I41" s="145"/>
      <c r="J41" s="145"/>
      <c r="K41" s="145"/>
      <c r="L41" s="145"/>
      <c r="M41" s="145"/>
      <c r="N41" s="16"/>
      <c r="O41" s="11"/>
      <c r="P41" s="11"/>
      <c r="Q41" s="11"/>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row>
    <row r="42" spans="1:66" ht="13.8" thickBot="1" x14ac:dyDescent="0.3">
      <c r="A42" s="11"/>
      <c r="B42" s="52">
        <v>29</v>
      </c>
      <c r="C42" s="57">
        <f t="shared" si="3"/>
        <v>1062.3522355634138</v>
      </c>
      <c r="D42" s="17">
        <f t="shared" si="0"/>
        <v>247.76695245705122</v>
      </c>
      <c r="E42" s="17">
        <f t="shared" si="1"/>
        <v>814.58528310636257</v>
      </c>
      <c r="F42" s="48">
        <f t="shared" si="2"/>
        <v>28917.449011739784</v>
      </c>
      <c r="H42" s="145"/>
      <c r="I42" s="145"/>
      <c r="J42" s="145"/>
      <c r="K42" s="145"/>
      <c r="L42" s="145"/>
      <c r="M42" s="145"/>
      <c r="N42" s="16"/>
      <c r="O42" s="11"/>
      <c r="P42" s="11"/>
      <c r="Q42" s="11"/>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row>
    <row r="43" spans="1:66" ht="13.8" thickBot="1" x14ac:dyDescent="0.3">
      <c r="A43" s="11"/>
      <c r="B43" s="55">
        <v>30</v>
      </c>
      <c r="C43" s="57">
        <f t="shared" si="3"/>
        <v>1062.3522355634138</v>
      </c>
      <c r="D43" s="17">
        <f t="shared" si="0"/>
        <v>240.97874176449818</v>
      </c>
      <c r="E43" s="17">
        <f t="shared" si="1"/>
        <v>821.37349379891566</v>
      </c>
      <c r="F43" s="48">
        <f t="shared" si="2"/>
        <v>28096.075517940866</v>
      </c>
      <c r="H43" s="145"/>
      <c r="I43" s="145"/>
      <c r="J43" s="145"/>
      <c r="K43" s="145"/>
      <c r="L43" s="145"/>
      <c r="M43" s="145"/>
      <c r="N43" s="16"/>
      <c r="O43" s="11"/>
      <c r="P43" s="11"/>
      <c r="Q43" s="11"/>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row>
    <row r="44" spans="1:66" ht="13.8" thickBot="1" x14ac:dyDescent="0.3">
      <c r="A44" s="11"/>
      <c r="B44" s="52">
        <v>31</v>
      </c>
      <c r="C44" s="57">
        <f t="shared" si="3"/>
        <v>1062.3522355634138</v>
      </c>
      <c r="D44" s="17">
        <f t="shared" si="0"/>
        <v>234.13396264950723</v>
      </c>
      <c r="E44" s="17">
        <f t="shared" si="1"/>
        <v>828.21827291390662</v>
      </c>
      <c r="F44" s="48">
        <f t="shared" si="2"/>
        <v>27267.85724502696</v>
      </c>
      <c r="H44" s="16"/>
      <c r="I44" s="16"/>
      <c r="J44" s="16"/>
      <c r="K44" s="16"/>
      <c r="L44" s="16"/>
      <c r="M44" s="16"/>
      <c r="N44" s="16"/>
      <c r="O44" s="11"/>
      <c r="P44" s="11"/>
      <c r="Q44" s="11"/>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row>
    <row r="45" spans="1:66" ht="13.8" thickBot="1" x14ac:dyDescent="0.3">
      <c r="A45" s="11"/>
      <c r="B45" s="55">
        <v>32</v>
      </c>
      <c r="C45" s="57">
        <f t="shared" si="3"/>
        <v>1062.3522355634138</v>
      </c>
      <c r="D45" s="17">
        <f t="shared" si="0"/>
        <v>227.232143708558</v>
      </c>
      <c r="E45" s="17">
        <f t="shared" si="1"/>
        <v>835.1200918548559</v>
      </c>
      <c r="F45" s="48">
        <f t="shared" si="2"/>
        <v>26432.737153172104</v>
      </c>
      <c r="H45" s="16"/>
      <c r="I45" s="16"/>
      <c r="J45" s="16"/>
      <c r="K45" s="16"/>
      <c r="L45" s="16"/>
      <c r="M45" s="16"/>
      <c r="N45" s="16"/>
      <c r="O45" s="11"/>
      <c r="P45" s="11"/>
      <c r="Q45" s="11"/>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row>
    <row r="46" spans="1:66" ht="13.8" thickBot="1" x14ac:dyDescent="0.3">
      <c r="A46" s="11"/>
      <c r="B46" s="52">
        <v>33</v>
      </c>
      <c r="C46" s="57">
        <f t="shared" si="3"/>
        <v>1062.3522355634138</v>
      </c>
      <c r="D46" s="17">
        <f t="shared" ref="D46:D85" si="4">F45*C$3</f>
        <v>220.27280960976753</v>
      </c>
      <c r="E46" s="17">
        <f t="shared" si="1"/>
        <v>842.07942595364625</v>
      </c>
      <c r="F46" s="48">
        <f t="shared" si="2"/>
        <v>25590.657727218459</v>
      </c>
      <c r="H46" s="16"/>
      <c r="I46" s="16"/>
      <c r="J46" s="16"/>
      <c r="K46" s="16"/>
      <c r="L46" s="16"/>
      <c r="M46" s="16"/>
      <c r="N46" s="23"/>
      <c r="O46" s="11"/>
      <c r="P46" s="11"/>
      <c r="Q46" s="11"/>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row>
    <row r="47" spans="1:66" ht="13.8" thickBot="1" x14ac:dyDescent="0.3">
      <c r="A47" s="11"/>
      <c r="B47" s="55">
        <v>34</v>
      </c>
      <c r="C47" s="57">
        <f t="shared" si="3"/>
        <v>1062.3522355634138</v>
      </c>
      <c r="D47" s="17">
        <f t="shared" si="4"/>
        <v>213.25548106015381</v>
      </c>
      <c r="E47" s="17">
        <f t="shared" ref="E47:E85" si="5">IF(B47&gt;$B$4,0,(-$B$5-D47))</f>
        <v>849.09675450326006</v>
      </c>
      <c r="F47" s="48">
        <f t="shared" si="2"/>
        <v>24741.560972715197</v>
      </c>
      <c r="H47" s="145"/>
      <c r="I47" s="145"/>
      <c r="J47" s="145"/>
      <c r="K47" s="145"/>
      <c r="L47" s="145"/>
      <c r="M47" s="145"/>
      <c r="N47" s="176"/>
      <c r="O47" s="11"/>
      <c r="P47" s="11"/>
      <c r="Q47" s="11"/>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row>
    <row r="48" spans="1:66" ht="13.8" thickBot="1" x14ac:dyDescent="0.3">
      <c r="A48" s="11"/>
      <c r="B48" s="52">
        <v>35</v>
      </c>
      <c r="C48" s="57">
        <f t="shared" si="3"/>
        <v>1062.3522355634138</v>
      </c>
      <c r="D48" s="17">
        <f t="shared" si="4"/>
        <v>206.17967477262664</v>
      </c>
      <c r="E48" s="17">
        <f t="shared" si="5"/>
        <v>856.1725607907872</v>
      </c>
      <c r="F48" s="48">
        <f t="shared" si="2"/>
        <v>23885.38841192441</v>
      </c>
      <c r="H48" s="20"/>
      <c r="I48" s="20"/>
      <c r="J48" s="20"/>
      <c r="K48" s="20"/>
      <c r="L48" s="20"/>
      <c r="M48" s="20"/>
      <c r="N48" s="177"/>
      <c r="O48" s="11"/>
      <c r="P48" s="11"/>
      <c r="Q48" s="11"/>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row>
    <row r="49" spans="1:66" ht="13.8" thickBot="1" x14ac:dyDescent="0.3">
      <c r="B49" s="183">
        <v>36</v>
      </c>
      <c r="C49" s="57">
        <f t="shared" si="3"/>
        <v>1062.3522355634138</v>
      </c>
      <c r="D49" s="17">
        <f t="shared" si="4"/>
        <v>199.04490343270342</v>
      </c>
      <c r="E49" s="17">
        <f t="shared" si="5"/>
        <v>863.30733213071039</v>
      </c>
      <c r="F49" s="48">
        <f t="shared" si="2"/>
        <v>23022.081079793701</v>
      </c>
      <c r="H49" s="27"/>
      <c r="I49" s="27"/>
      <c r="J49" s="27"/>
      <c r="K49" s="27"/>
      <c r="L49" s="27"/>
      <c r="M49" s="27"/>
      <c r="N49" s="27"/>
      <c r="O49" s="11"/>
      <c r="P49" s="4"/>
      <c r="Q49" s="11"/>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row>
    <row r="50" spans="1:66" ht="13.8" thickBot="1" x14ac:dyDescent="0.3">
      <c r="A50" s="11" t="s">
        <v>176</v>
      </c>
      <c r="B50" s="55">
        <v>37</v>
      </c>
      <c r="C50" s="57">
        <f t="shared" si="3"/>
        <v>1062.3522355634138</v>
      </c>
      <c r="D50" s="17">
        <f t="shared" si="4"/>
        <v>191.85067566494752</v>
      </c>
      <c r="E50" s="17">
        <f t="shared" si="5"/>
        <v>870.50155989846633</v>
      </c>
      <c r="F50" s="48">
        <f t="shared" si="2"/>
        <v>22151.579519895236</v>
      </c>
      <c r="H50" s="16"/>
      <c r="I50" s="16"/>
      <c r="J50" s="16"/>
      <c r="K50" s="16"/>
      <c r="L50" s="16"/>
      <c r="M50" s="16"/>
      <c r="N50" s="16"/>
      <c r="O50" s="11"/>
      <c r="P50" s="11"/>
      <c r="Q50" s="11"/>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row>
    <row r="51" spans="1:66" ht="13.8" thickBot="1" x14ac:dyDescent="0.3">
      <c r="A51" s="11"/>
      <c r="B51" s="52">
        <v>38</v>
      </c>
      <c r="C51" s="57">
        <f t="shared" si="3"/>
        <v>1062.3522355634138</v>
      </c>
      <c r="D51" s="17">
        <f t="shared" si="4"/>
        <v>184.59649599912697</v>
      </c>
      <c r="E51" s="17">
        <f t="shared" si="5"/>
        <v>877.75573956428684</v>
      </c>
      <c r="F51" s="48">
        <f t="shared" si="2"/>
        <v>21273.823780330949</v>
      </c>
      <c r="H51" s="16"/>
      <c r="I51" s="16"/>
      <c r="J51" s="16"/>
      <c r="K51" s="16"/>
      <c r="L51" s="16"/>
      <c r="M51" s="16"/>
      <c r="N51" s="16"/>
      <c r="O51" s="11"/>
      <c r="P51" s="11"/>
      <c r="Q51" s="11"/>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row>
    <row r="52" spans="1:66" ht="13.8" thickBot="1" x14ac:dyDescent="0.3">
      <c r="A52" s="11"/>
      <c r="B52" s="55">
        <v>39</v>
      </c>
      <c r="C52" s="57">
        <f t="shared" si="3"/>
        <v>1062.3522355634138</v>
      </c>
      <c r="D52" s="17">
        <f t="shared" si="4"/>
        <v>177.28186483609124</v>
      </c>
      <c r="E52" s="17">
        <f t="shared" si="5"/>
        <v>885.0703707273226</v>
      </c>
      <c r="F52" s="48">
        <f t="shared" si="2"/>
        <v>20388.753409603625</v>
      </c>
      <c r="H52" s="16"/>
      <c r="I52" s="16"/>
      <c r="J52" s="16"/>
      <c r="K52" s="16"/>
      <c r="L52" s="16"/>
      <c r="M52" s="16"/>
      <c r="N52" s="16"/>
      <c r="O52" s="11"/>
      <c r="P52" s="11"/>
      <c r="Q52" s="11"/>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row>
    <row r="53" spans="1:66" ht="13.8" thickBot="1" x14ac:dyDescent="0.3">
      <c r="A53" s="11"/>
      <c r="B53" s="52">
        <v>40</v>
      </c>
      <c r="C53" s="57">
        <f t="shared" si="3"/>
        <v>1062.3522355634138</v>
      </c>
      <c r="D53" s="17">
        <f t="shared" si="4"/>
        <v>169.90627841336354</v>
      </c>
      <c r="E53" s="17">
        <f t="shared" si="5"/>
        <v>892.44595715005028</v>
      </c>
      <c r="F53" s="48">
        <f t="shared" si="2"/>
        <v>19496.307452453573</v>
      </c>
      <c r="H53" s="16"/>
      <c r="I53" s="16"/>
      <c r="J53" s="16"/>
      <c r="K53" s="16"/>
      <c r="L53" s="16"/>
      <c r="M53" s="16"/>
      <c r="N53" s="16"/>
      <c r="O53" s="139"/>
      <c r="P53" s="139"/>
      <c r="Q53" s="139"/>
    </row>
    <row r="54" spans="1:66" ht="13.8" thickBot="1" x14ac:dyDescent="0.3">
      <c r="A54" s="11"/>
      <c r="B54" s="55">
        <v>41</v>
      </c>
      <c r="C54" s="57">
        <f t="shared" si="3"/>
        <v>1062.3522355634138</v>
      </c>
      <c r="D54" s="17">
        <f t="shared" si="4"/>
        <v>162.46922877044645</v>
      </c>
      <c r="E54" s="17">
        <f t="shared" si="5"/>
        <v>899.88300679296742</v>
      </c>
      <c r="F54" s="48">
        <f t="shared" si="2"/>
        <v>18596.424445660607</v>
      </c>
      <c r="H54" s="16"/>
      <c r="I54" s="16"/>
      <c r="J54" s="16"/>
      <c r="K54" s="16"/>
      <c r="L54" s="16"/>
      <c r="M54" s="16"/>
      <c r="N54" s="16"/>
      <c r="O54" s="139"/>
      <c r="P54" s="139"/>
      <c r="Q54" s="139"/>
    </row>
    <row r="55" spans="1:66" ht="13.8" thickBot="1" x14ac:dyDescent="0.3">
      <c r="A55" s="11"/>
      <c r="B55" s="52">
        <v>42</v>
      </c>
      <c r="C55" s="57">
        <f t="shared" si="3"/>
        <v>1062.3522355634138</v>
      </c>
      <c r="D55" s="17">
        <f t="shared" si="4"/>
        <v>154.97020371383837</v>
      </c>
      <c r="E55" s="17">
        <f t="shared" si="5"/>
        <v>907.38203184957547</v>
      </c>
      <c r="F55" s="48">
        <f t="shared" si="2"/>
        <v>17689.042413811032</v>
      </c>
      <c r="H55" s="16"/>
      <c r="I55" s="16"/>
      <c r="J55" s="16"/>
      <c r="K55" s="16"/>
      <c r="L55" s="16"/>
      <c r="M55" s="16"/>
      <c r="N55" s="16"/>
      <c r="O55" s="139"/>
      <c r="P55" s="139"/>
      <c r="Q55" s="139"/>
    </row>
    <row r="56" spans="1:66" ht="13.8" thickBot="1" x14ac:dyDescent="0.3">
      <c r="A56" s="11"/>
      <c r="B56" s="56">
        <v>43</v>
      </c>
      <c r="C56" s="57">
        <f t="shared" si="3"/>
        <v>1062.3522355634138</v>
      </c>
      <c r="D56" s="17">
        <f t="shared" si="4"/>
        <v>147.4086867817586</v>
      </c>
      <c r="E56" s="17">
        <f t="shared" si="5"/>
        <v>914.94354878165518</v>
      </c>
      <c r="F56" s="48">
        <f t="shared" si="2"/>
        <v>16774.098865029377</v>
      </c>
      <c r="H56" s="16"/>
      <c r="I56" s="16"/>
      <c r="J56" s="16"/>
      <c r="K56" s="16"/>
      <c r="L56" s="16"/>
      <c r="M56" s="16"/>
      <c r="N56" s="16"/>
      <c r="O56" s="139"/>
      <c r="P56" s="139"/>
      <c r="Q56" s="139"/>
    </row>
    <row r="57" spans="1:66" ht="13.8" thickBot="1" x14ac:dyDescent="0.3">
      <c r="A57" s="11"/>
      <c r="B57" s="51">
        <v>44</v>
      </c>
      <c r="C57" s="57">
        <f t="shared" si="3"/>
        <v>1062.3522355634138</v>
      </c>
      <c r="D57" s="17">
        <f t="shared" si="4"/>
        <v>139.78415720857814</v>
      </c>
      <c r="E57" s="17">
        <f t="shared" si="5"/>
        <v>922.56807835483573</v>
      </c>
      <c r="F57" s="48">
        <f t="shared" si="2"/>
        <v>15851.530786674541</v>
      </c>
      <c r="H57" s="16"/>
      <c r="I57" s="16"/>
      <c r="J57" s="16"/>
      <c r="K57" s="16"/>
      <c r="L57" s="16"/>
      <c r="M57" s="16"/>
      <c r="N57" s="16"/>
      <c r="O57" s="139"/>
      <c r="P57" s="139"/>
      <c r="Q57" s="139"/>
    </row>
    <row r="58" spans="1:66" ht="13.8" thickBot="1" x14ac:dyDescent="0.3">
      <c r="A58" s="11"/>
      <c r="B58" s="52">
        <v>45</v>
      </c>
      <c r="C58" s="57">
        <f t="shared" si="3"/>
        <v>1062.3522355634138</v>
      </c>
      <c r="D58" s="17">
        <f t="shared" si="4"/>
        <v>132.09608988895451</v>
      </c>
      <c r="E58" s="17">
        <f t="shared" si="5"/>
        <v>930.25614567445928</v>
      </c>
      <c r="F58" s="48">
        <f t="shared" si="2"/>
        <v>14921.274641000082</v>
      </c>
      <c r="H58" s="16"/>
      <c r="I58" s="16"/>
      <c r="J58" s="16"/>
      <c r="K58" s="16"/>
      <c r="L58" s="16"/>
      <c r="M58" s="16"/>
      <c r="N58" s="16"/>
      <c r="O58" s="139"/>
      <c r="P58" s="178"/>
      <c r="Q58" s="139"/>
    </row>
    <row r="59" spans="1:66" ht="13.8" thickBot="1" x14ac:dyDescent="0.3">
      <c r="A59" s="11"/>
      <c r="B59" s="55">
        <v>46</v>
      </c>
      <c r="C59" s="57">
        <f t="shared" si="3"/>
        <v>1062.3522355634138</v>
      </c>
      <c r="D59" s="17">
        <f t="shared" si="4"/>
        <v>124.34395534166735</v>
      </c>
      <c r="E59" s="17">
        <f t="shared" si="5"/>
        <v>938.00828022174653</v>
      </c>
      <c r="F59" s="48">
        <f t="shared" si="2"/>
        <v>13983.266360778336</v>
      </c>
      <c r="H59" s="16"/>
      <c r="I59" s="16"/>
      <c r="J59" s="16"/>
      <c r="K59" s="16"/>
      <c r="L59" s="16"/>
      <c r="M59" s="16"/>
      <c r="N59" s="16"/>
      <c r="O59" s="139"/>
      <c r="P59" s="139"/>
      <c r="Q59" s="139"/>
    </row>
    <row r="60" spans="1:66" ht="13.8" thickBot="1" x14ac:dyDescent="0.3">
      <c r="A60" s="11"/>
      <c r="B60" s="52">
        <v>47</v>
      </c>
      <c r="C60" s="57">
        <f t="shared" si="3"/>
        <v>1062.3522355634138</v>
      </c>
      <c r="D60" s="17">
        <f t="shared" si="4"/>
        <v>116.5272196731528</v>
      </c>
      <c r="E60" s="17">
        <f t="shared" si="5"/>
        <v>945.82501589026106</v>
      </c>
      <c r="F60" s="48">
        <f t="shared" si="2"/>
        <v>13037.441344888075</v>
      </c>
      <c r="H60" s="16"/>
      <c r="I60" s="16"/>
      <c r="J60" s="16"/>
      <c r="K60" s="16"/>
      <c r="L60" s="16"/>
      <c r="M60" s="16"/>
      <c r="N60" s="16"/>
      <c r="O60" s="139"/>
      <c r="P60" s="139"/>
      <c r="Q60" s="139"/>
    </row>
    <row r="61" spans="1:66" ht="13.8" thickBot="1" x14ac:dyDescent="0.3">
      <c r="A61" s="11"/>
      <c r="B61" s="53">
        <v>48</v>
      </c>
      <c r="C61" s="57">
        <f t="shared" si="3"/>
        <v>1062.3522355634138</v>
      </c>
      <c r="D61" s="17">
        <f t="shared" si="4"/>
        <v>108.64534454073396</v>
      </c>
      <c r="E61" s="17">
        <f t="shared" si="5"/>
        <v>953.70689102267988</v>
      </c>
      <c r="F61" s="48">
        <f t="shared" si="2"/>
        <v>12083.734453865396</v>
      </c>
      <c r="H61" s="16"/>
      <c r="I61" s="16"/>
      <c r="J61" s="16"/>
      <c r="K61" s="16"/>
      <c r="L61" s="16"/>
      <c r="M61" s="16"/>
      <c r="N61" s="16"/>
      <c r="O61" s="139"/>
      <c r="P61" s="139"/>
      <c r="Q61" s="139"/>
    </row>
    <row r="62" spans="1:66" ht="13.8" thickBot="1" x14ac:dyDescent="0.3">
      <c r="A62" s="11"/>
      <c r="B62" s="52">
        <v>49</v>
      </c>
      <c r="C62" s="57">
        <f t="shared" si="3"/>
        <v>1062.3522355634138</v>
      </c>
      <c r="D62" s="17">
        <f t="shared" si="4"/>
        <v>100.69778711554497</v>
      </c>
      <c r="E62" s="17">
        <f t="shared" si="5"/>
        <v>961.65444844786884</v>
      </c>
      <c r="F62" s="48">
        <f t="shared" si="2"/>
        <v>11122.080005417527</v>
      </c>
      <c r="H62" s="16"/>
      <c r="I62" s="16"/>
      <c r="J62" s="16"/>
      <c r="K62" s="16"/>
      <c r="L62" s="16"/>
      <c r="M62" s="16"/>
      <c r="N62" s="16"/>
      <c r="O62" s="139"/>
      <c r="P62" s="139"/>
      <c r="Q62" s="139"/>
    </row>
    <row r="63" spans="1:66" ht="13.8" thickBot="1" x14ac:dyDescent="0.3">
      <c r="A63" s="11"/>
      <c r="B63" s="56">
        <v>50</v>
      </c>
      <c r="C63" s="57">
        <f t="shared" si="3"/>
        <v>1062.3522355634138</v>
      </c>
      <c r="D63" s="17">
        <f t="shared" si="4"/>
        <v>92.684000045146064</v>
      </c>
      <c r="E63" s="17">
        <f t="shared" si="5"/>
        <v>969.66823551826781</v>
      </c>
      <c r="F63" s="48">
        <f t="shared" si="2"/>
        <v>10152.41176989926</v>
      </c>
      <c r="H63" s="16"/>
      <c r="I63" s="16"/>
      <c r="J63" s="16"/>
      <c r="K63" s="16"/>
      <c r="L63" s="16"/>
      <c r="M63" s="16"/>
      <c r="N63" s="16"/>
      <c r="O63" s="139"/>
      <c r="P63" s="139"/>
      <c r="Q63" s="139"/>
    </row>
    <row r="64" spans="1:66" ht="13.8" thickBot="1" x14ac:dyDescent="0.3">
      <c r="A64" s="11"/>
      <c r="B64" s="55">
        <v>51</v>
      </c>
      <c r="C64" s="57">
        <f t="shared" si="3"/>
        <v>1062.3522355634138</v>
      </c>
      <c r="D64" s="17">
        <f t="shared" si="4"/>
        <v>84.60343141582716</v>
      </c>
      <c r="E64" s="17">
        <f t="shared" si="5"/>
        <v>977.74880414758672</v>
      </c>
      <c r="F64" s="48">
        <f t="shared" si="2"/>
        <v>9174.6629657516733</v>
      </c>
      <c r="H64" s="16"/>
      <c r="I64" s="16"/>
      <c r="J64" s="16"/>
      <c r="K64" s="16"/>
      <c r="L64" s="16"/>
      <c r="M64" s="16"/>
      <c r="N64" s="16"/>
      <c r="O64" s="139"/>
      <c r="P64" s="139"/>
      <c r="Q64" s="139"/>
    </row>
    <row r="65" spans="1:17" ht="13.8" thickBot="1" x14ac:dyDescent="0.3">
      <c r="A65" s="11"/>
      <c r="B65" s="52">
        <v>52</v>
      </c>
      <c r="C65" s="57">
        <f t="shared" si="3"/>
        <v>1062.3522355634138</v>
      </c>
      <c r="D65" s="17">
        <f t="shared" si="4"/>
        <v>76.455524714597274</v>
      </c>
      <c r="E65" s="17">
        <f t="shared" si="5"/>
        <v>985.89671084881661</v>
      </c>
      <c r="F65" s="48">
        <f t="shared" si="2"/>
        <v>8188.7662549028564</v>
      </c>
      <c r="H65" s="16"/>
      <c r="I65" s="16"/>
      <c r="J65" s="16"/>
      <c r="K65" s="16"/>
      <c r="L65" s="16"/>
      <c r="M65" s="16"/>
      <c r="N65" s="16"/>
      <c r="O65" s="139"/>
      <c r="P65" s="139"/>
      <c r="Q65" s="139"/>
    </row>
    <row r="66" spans="1:17" ht="13.8" thickBot="1" x14ac:dyDescent="0.3">
      <c r="A66" s="11"/>
      <c r="B66" s="55">
        <v>53</v>
      </c>
      <c r="C66" s="57">
        <f t="shared" si="3"/>
        <v>1062.3522355634138</v>
      </c>
      <c r="D66" s="17">
        <f t="shared" si="4"/>
        <v>68.23971879085714</v>
      </c>
      <c r="E66" s="17">
        <f t="shared" si="5"/>
        <v>994.11251677255666</v>
      </c>
      <c r="F66" s="48">
        <f t="shared" si="2"/>
        <v>7194.6537381302996</v>
      </c>
      <c r="H66" s="16"/>
      <c r="I66" s="16"/>
      <c r="J66" s="16"/>
      <c r="K66" s="16"/>
      <c r="L66" s="16"/>
      <c r="M66" s="16"/>
      <c r="N66" s="16"/>
      <c r="O66" s="139"/>
      <c r="P66" s="139"/>
      <c r="Q66" s="139"/>
    </row>
    <row r="67" spans="1:17" ht="13.8" thickBot="1" x14ac:dyDescent="0.3">
      <c r="A67" s="11"/>
      <c r="B67" s="52">
        <v>54</v>
      </c>
      <c r="C67" s="57">
        <f t="shared" si="3"/>
        <v>1062.3522355634138</v>
      </c>
      <c r="D67" s="17">
        <f t="shared" si="4"/>
        <v>59.955447817752493</v>
      </c>
      <c r="E67" s="17">
        <f t="shared" si="5"/>
        <v>1002.3967877456613</v>
      </c>
      <c r="F67" s="48">
        <f t="shared" si="2"/>
        <v>6192.256950384638</v>
      </c>
      <c r="H67" s="16"/>
      <c r="I67" s="16"/>
      <c r="J67" s="16"/>
      <c r="K67" s="16"/>
      <c r="L67" s="16"/>
      <c r="M67" s="16"/>
      <c r="N67" s="16"/>
      <c r="O67" s="139"/>
      <c r="P67" s="139"/>
      <c r="Q67" s="139"/>
    </row>
    <row r="68" spans="1:17" ht="13.8" thickBot="1" x14ac:dyDescent="0.3">
      <c r="A68" s="11"/>
      <c r="B68" s="55">
        <v>55</v>
      </c>
      <c r="C68" s="57">
        <f t="shared" si="3"/>
        <v>1062.3522355634138</v>
      </c>
      <c r="D68" s="17">
        <f t="shared" si="4"/>
        <v>51.602141253205318</v>
      </c>
      <c r="E68" s="17">
        <f t="shared" si="5"/>
        <v>1010.7500943102085</v>
      </c>
      <c r="F68" s="48">
        <f t="shared" si="2"/>
        <v>5181.5068560744294</v>
      </c>
      <c r="H68" s="16"/>
      <c r="I68" s="16"/>
      <c r="J68" s="16"/>
      <c r="K68" s="16"/>
      <c r="L68" s="16"/>
      <c r="M68" s="16"/>
      <c r="N68" s="16"/>
      <c r="O68" s="139"/>
      <c r="P68" s="139"/>
      <c r="Q68" s="139"/>
    </row>
    <row r="69" spans="1:17" ht="13.8" thickBot="1" x14ac:dyDescent="0.3">
      <c r="A69" s="11"/>
      <c r="B69" s="52">
        <v>56</v>
      </c>
      <c r="C69" s="57">
        <f t="shared" si="3"/>
        <v>1062.3522355634138</v>
      </c>
      <c r="D69" s="17">
        <f t="shared" si="4"/>
        <v>43.179223800620242</v>
      </c>
      <c r="E69" s="17">
        <f t="shared" si="5"/>
        <v>1019.1730117627936</v>
      </c>
      <c r="F69" s="48">
        <f t="shared" si="2"/>
        <v>4162.3338443116354</v>
      </c>
      <c r="H69" s="16"/>
      <c r="I69" s="16"/>
      <c r="J69" s="16"/>
      <c r="K69" s="16"/>
      <c r="L69" s="16"/>
      <c r="M69" s="16"/>
      <c r="N69" s="16"/>
      <c r="O69" s="139"/>
      <c r="P69" s="139"/>
      <c r="Q69" s="139"/>
    </row>
    <row r="70" spans="1:17" ht="13.8" thickBot="1" x14ac:dyDescent="0.3">
      <c r="A70" s="11"/>
      <c r="B70" s="52">
        <v>57</v>
      </c>
      <c r="C70" s="57">
        <f t="shared" si="3"/>
        <v>1062.3522355634138</v>
      </c>
      <c r="D70" s="17">
        <f t="shared" si="4"/>
        <v>34.686115369263625</v>
      </c>
      <c r="E70" s="17">
        <f t="shared" si="5"/>
        <v>1027.6661201941502</v>
      </c>
      <c r="F70" s="48">
        <f t="shared" si="2"/>
        <v>3134.6677241174852</v>
      </c>
      <c r="H70" s="16"/>
      <c r="I70" s="16"/>
      <c r="J70" s="16"/>
      <c r="K70" s="16"/>
      <c r="L70" s="16"/>
      <c r="M70" s="16"/>
      <c r="N70" s="16"/>
      <c r="O70" s="139"/>
      <c r="P70" s="139"/>
      <c r="Q70" s="139"/>
    </row>
    <row r="71" spans="1:17" ht="13.8" thickBot="1" x14ac:dyDescent="0.3">
      <c r="A71" s="11"/>
      <c r="B71" s="52">
        <v>58</v>
      </c>
      <c r="C71" s="57">
        <f t="shared" si="3"/>
        <v>1062.3522355634138</v>
      </c>
      <c r="D71" s="17">
        <f t="shared" si="4"/>
        <v>26.122231034312378</v>
      </c>
      <c r="E71" s="17">
        <f t="shared" si="5"/>
        <v>1036.2300045291015</v>
      </c>
      <c r="F71" s="48">
        <f t="shared" si="2"/>
        <v>2098.4377195883835</v>
      </c>
      <c r="H71" s="16"/>
      <c r="I71" s="16"/>
      <c r="J71" s="16"/>
      <c r="K71" s="16"/>
      <c r="L71" s="16"/>
      <c r="M71" s="16"/>
      <c r="N71" s="16"/>
      <c r="O71" s="139"/>
      <c r="P71" s="139"/>
      <c r="Q71" s="139"/>
    </row>
    <row r="72" spans="1:17" ht="13.8" thickBot="1" x14ac:dyDescent="0.3">
      <c r="A72" s="11"/>
      <c r="B72" s="52">
        <v>59</v>
      </c>
      <c r="C72" s="57">
        <f t="shared" si="3"/>
        <v>1062.3522355634138</v>
      </c>
      <c r="D72" s="17">
        <f t="shared" si="4"/>
        <v>17.486980996569862</v>
      </c>
      <c r="E72" s="17">
        <f t="shared" si="5"/>
        <v>1044.865254566844</v>
      </c>
      <c r="F72" s="48">
        <f t="shared" si="2"/>
        <v>1053.5724650215395</v>
      </c>
      <c r="H72" s="16"/>
      <c r="I72" s="16"/>
      <c r="J72" s="16"/>
      <c r="K72" s="16"/>
      <c r="L72" s="16"/>
      <c r="M72" s="16"/>
      <c r="N72" s="16"/>
      <c r="O72" s="139"/>
      <c r="P72" s="139"/>
      <c r="Q72" s="139"/>
    </row>
    <row r="73" spans="1:17" ht="13.8" thickBot="1" x14ac:dyDescent="0.3">
      <c r="A73" s="11"/>
      <c r="B73" s="53">
        <v>60</v>
      </c>
      <c r="C73" s="57">
        <f t="shared" si="3"/>
        <v>1062.3522355634138</v>
      </c>
      <c r="D73" s="17">
        <f t="shared" si="4"/>
        <v>8.7797705418461618</v>
      </c>
      <c r="E73" s="17">
        <f t="shared" si="5"/>
        <v>1053.5724650215677</v>
      </c>
      <c r="F73" s="48">
        <f t="shared" si="2"/>
        <v>-2.8194335754960775E-11</v>
      </c>
      <c r="H73" s="16"/>
      <c r="I73" s="16"/>
      <c r="J73" s="16"/>
      <c r="K73" s="16"/>
      <c r="L73" s="16"/>
      <c r="M73" s="16"/>
      <c r="N73" s="23"/>
      <c r="O73" s="139"/>
      <c r="P73" s="139"/>
      <c r="Q73" s="139"/>
    </row>
    <row r="74" spans="1:17" ht="13.8" thickBot="1" x14ac:dyDescent="0.3">
      <c r="A74" s="22"/>
      <c r="B74" s="52">
        <v>61</v>
      </c>
      <c r="C74" s="57">
        <f t="shared" si="3"/>
        <v>0</v>
      </c>
      <c r="D74" s="17">
        <f t="shared" si="4"/>
        <v>-2.3495279795800643E-13</v>
      </c>
      <c r="E74" s="17">
        <f t="shared" si="5"/>
        <v>0</v>
      </c>
      <c r="F74" s="48">
        <f t="shared" si="2"/>
        <v>-2.8194335754960775E-11</v>
      </c>
      <c r="G74" s="16"/>
      <c r="H74" s="16"/>
      <c r="I74" s="16"/>
      <c r="J74" s="16"/>
      <c r="K74" s="16"/>
      <c r="L74" s="16"/>
      <c r="M74" s="16"/>
      <c r="N74" s="23"/>
      <c r="O74" s="139"/>
      <c r="P74" s="139"/>
      <c r="Q74" s="139"/>
    </row>
    <row r="75" spans="1:17" ht="13.8" thickBot="1" x14ac:dyDescent="0.3">
      <c r="A75" s="22"/>
      <c r="B75" s="53">
        <v>62</v>
      </c>
      <c r="C75" s="57">
        <f t="shared" si="3"/>
        <v>0</v>
      </c>
      <c r="D75" s="17">
        <f t="shared" si="4"/>
        <v>-2.3495279795800643E-13</v>
      </c>
      <c r="E75" s="17">
        <f t="shared" si="5"/>
        <v>0</v>
      </c>
      <c r="F75" s="48">
        <f t="shared" si="2"/>
        <v>-2.8194335754960775E-11</v>
      </c>
      <c r="G75" s="16"/>
      <c r="H75" s="16"/>
      <c r="I75" s="16"/>
      <c r="J75" s="16"/>
      <c r="K75" s="16"/>
      <c r="L75" s="16"/>
      <c r="M75" s="16"/>
      <c r="N75" s="23"/>
      <c r="O75" s="139"/>
      <c r="P75" s="139"/>
      <c r="Q75" s="139"/>
    </row>
    <row r="76" spans="1:17" ht="13.8" thickBot="1" x14ac:dyDescent="0.3">
      <c r="A76" s="22"/>
      <c r="B76" s="52">
        <v>63</v>
      </c>
      <c r="C76" s="57">
        <f t="shared" si="3"/>
        <v>0</v>
      </c>
      <c r="D76" s="17">
        <f t="shared" si="4"/>
        <v>-2.3495279795800643E-13</v>
      </c>
      <c r="E76" s="17">
        <f t="shared" si="5"/>
        <v>0</v>
      </c>
      <c r="F76" s="48">
        <f t="shared" si="2"/>
        <v>-2.8194335754960775E-11</v>
      </c>
      <c r="G76" s="16"/>
      <c r="H76" s="16"/>
      <c r="I76" s="16"/>
      <c r="J76" s="16"/>
      <c r="K76" s="16"/>
      <c r="L76" s="16"/>
      <c r="M76" s="16"/>
      <c r="N76" s="23"/>
      <c r="O76" s="139"/>
      <c r="P76" s="139"/>
      <c r="Q76" s="139"/>
    </row>
    <row r="77" spans="1:17" ht="13.8" thickBot="1" x14ac:dyDescent="0.3">
      <c r="A77" s="22"/>
      <c r="B77" s="53">
        <v>64</v>
      </c>
      <c r="C77" s="57">
        <f t="shared" si="3"/>
        <v>0</v>
      </c>
      <c r="D77" s="17">
        <f t="shared" si="4"/>
        <v>-2.3495279795800643E-13</v>
      </c>
      <c r="E77" s="17">
        <f t="shared" si="5"/>
        <v>0</v>
      </c>
      <c r="F77" s="48">
        <f t="shared" si="2"/>
        <v>-2.8194335754960775E-11</v>
      </c>
      <c r="G77" s="16"/>
      <c r="H77" s="16"/>
      <c r="I77" s="16"/>
      <c r="J77" s="16"/>
      <c r="K77" s="16"/>
      <c r="L77" s="16"/>
      <c r="M77" s="16"/>
      <c r="N77" s="23"/>
      <c r="O77" s="139"/>
      <c r="P77" s="139"/>
      <c r="Q77" s="139"/>
    </row>
    <row r="78" spans="1:17" ht="13.8" thickBot="1" x14ac:dyDescent="0.3">
      <c r="A78" s="22"/>
      <c r="B78" s="52">
        <v>65</v>
      </c>
      <c r="C78" s="57">
        <f t="shared" si="3"/>
        <v>0</v>
      </c>
      <c r="D78" s="17">
        <f t="shared" si="4"/>
        <v>-2.3495279795800643E-13</v>
      </c>
      <c r="E78" s="17">
        <f t="shared" si="5"/>
        <v>0</v>
      </c>
      <c r="F78" s="48">
        <f t="shared" si="2"/>
        <v>-2.8194335754960775E-11</v>
      </c>
      <c r="G78" s="11"/>
      <c r="H78" s="32"/>
      <c r="I78" s="32"/>
      <c r="J78" s="32"/>
      <c r="K78" s="32"/>
      <c r="L78" s="32"/>
      <c r="M78" s="32"/>
      <c r="N78" s="24"/>
      <c r="O78" s="139"/>
      <c r="P78" s="4"/>
      <c r="Q78" s="139"/>
    </row>
    <row r="79" spans="1:17" ht="13.8" thickBot="1" x14ac:dyDescent="0.3">
      <c r="A79" s="11"/>
      <c r="B79" s="53">
        <v>66</v>
      </c>
      <c r="C79" s="57">
        <f t="shared" si="3"/>
        <v>0</v>
      </c>
      <c r="D79" s="17">
        <f t="shared" si="4"/>
        <v>-2.3495279795800643E-13</v>
      </c>
      <c r="E79" s="17">
        <f t="shared" si="5"/>
        <v>0</v>
      </c>
      <c r="F79" s="48">
        <f t="shared" ref="F79:F85" si="6">F78-E79</f>
        <v>-2.8194335754960775E-11</v>
      </c>
      <c r="G79" s="11"/>
      <c r="H79" s="146"/>
      <c r="I79" s="146"/>
      <c r="J79" s="146"/>
      <c r="K79" s="146"/>
      <c r="L79" s="146"/>
      <c r="M79" s="146"/>
      <c r="N79" s="26"/>
      <c r="O79" s="4"/>
      <c r="P79" s="139"/>
      <c r="Q79" s="139"/>
    </row>
    <row r="80" spans="1:17" ht="13.8" thickBot="1" x14ac:dyDescent="0.3">
      <c r="A80" s="11"/>
      <c r="B80" s="52">
        <v>67</v>
      </c>
      <c r="C80" s="57">
        <f t="shared" ref="C80:C85" si="7">IF(F79&lt;1,0,-$B$5)</f>
        <v>0</v>
      </c>
      <c r="D80" s="17">
        <f t="shared" si="4"/>
        <v>-2.3495279795800643E-13</v>
      </c>
      <c r="E80" s="17">
        <f t="shared" si="5"/>
        <v>0</v>
      </c>
      <c r="F80" s="48">
        <f t="shared" si="6"/>
        <v>-2.8194335754960775E-11</v>
      </c>
      <c r="G80" s="11"/>
      <c r="H80" s="10"/>
      <c r="I80" s="147"/>
      <c r="J80" s="147"/>
      <c r="K80" s="147"/>
      <c r="L80" s="147"/>
      <c r="M80" s="147"/>
      <c r="N80" s="147"/>
      <c r="O80" s="10"/>
      <c r="P80" s="139"/>
      <c r="Q80" s="139"/>
    </row>
    <row r="81" spans="1:17" ht="13.8" thickBot="1" x14ac:dyDescent="0.3">
      <c r="A81" s="11"/>
      <c r="B81" s="53">
        <v>68</v>
      </c>
      <c r="C81" s="57">
        <f t="shared" si="7"/>
        <v>0</v>
      </c>
      <c r="D81" s="17">
        <f t="shared" si="4"/>
        <v>-2.3495279795800643E-13</v>
      </c>
      <c r="E81" s="17">
        <f t="shared" si="5"/>
        <v>0</v>
      </c>
      <c r="F81" s="48">
        <f t="shared" si="6"/>
        <v>-2.8194335754960775E-11</v>
      </c>
      <c r="G81" s="11"/>
      <c r="H81" s="10"/>
      <c r="I81" s="147"/>
      <c r="J81" s="147"/>
      <c r="K81" s="147"/>
      <c r="L81" s="147"/>
      <c r="M81" s="147"/>
      <c r="N81" s="147"/>
      <c r="O81" s="10"/>
      <c r="P81" s="139"/>
      <c r="Q81" s="139"/>
    </row>
    <row r="82" spans="1:17" ht="13.8" thickBot="1" x14ac:dyDescent="0.3">
      <c r="A82" s="11"/>
      <c r="B82" s="52">
        <v>69</v>
      </c>
      <c r="C82" s="57">
        <f t="shared" si="7"/>
        <v>0</v>
      </c>
      <c r="D82" s="17">
        <f t="shared" si="4"/>
        <v>-2.3495279795800643E-13</v>
      </c>
      <c r="E82" s="17">
        <f t="shared" si="5"/>
        <v>0</v>
      </c>
      <c r="F82" s="48">
        <f t="shared" si="6"/>
        <v>-2.8194335754960775E-11</v>
      </c>
      <c r="G82" s="24"/>
      <c r="H82" s="10"/>
      <c r="I82" s="10"/>
      <c r="J82" s="147"/>
      <c r="K82" s="147"/>
      <c r="L82" s="147"/>
      <c r="M82" s="147"/>
      <c r="N82" s="147"/>
      <c r="O82" s="10"/>
      <c r="P82" s="139"/>
      <c r="Q82" s="139"/>
    </row>
    <row r="83" spans="1:17" ht="13.8" thickBot="1" x14ac:dyDescent="0.3">
      <c r="A83" s="11"/>
      <c r="B83" s="53">
        <v>70</v>
      </c>
      <c r="C83" s="57">
        <f t="shared" si="7"/>
        <v>0</v>
      </c>
      <c r="D83" s="17">
        <f t="shared" si="4"/>
        <v>-2.3495279795800643E-13</v>
      </c>
      <c r="E83" s="17">
        <f t="shared" si="5"/>
        <v>0</v>
      </c>
      <c r="F83" s="48">
        <f t="shared" si="6"/>
        <v>-2.8194335754960775E-11</v>
      </c>
      <c r="G83" s="11"/>
      <c r="H83" s="10"/>
      <c r="I83" s="10"/>
      <c r="J83" s="147"/>
      <c r="K83" s="147"/>
      <c r="L83" s="147"/>
      <c r="M83" s="147"/>
      <c r="N83" s="147"/>
      <c r="O83" s="10"/>
      <c r="P83" s="139"/>
      <c r="Q83" s="139"/>
    </row>
    <row r="84" spans="1:17" ht="13.8" thickBot="1" x14ac:dyDescent="0.3">
      <c r="A84" s="11"/>
      <c r="B84" s="52">
        <v>71</v>
      </c>
      <c r="C84" s="57">
        <f t="shared" si="7"/>
        <v>0</v>
      </c>
      <c r="D84" s="17">
        <f t="shared" si="4"/>
        <v>-2.3495279795800643E-13</v>
      </c>
      <c r="E84" s="17">
        <f t="shared" si="5"/>
        <v>0</v>
      </c>
      <c r="F84" s="48">
        <f t="shared" si="6"/>
        <v>-2.8194335754960775E-11</v>
      </c>
      <c r="G84" s="11"/>
      <c r="H84" s="10"/>
      <c r="I84" s="147"/>
      <c r="J84" s="147"/>
      <c r="K84" s="147"/>
      <c r="L84" s="147"/>
      <c r="M84" s="147"/>
      <c r="N84" s="147"/>
      <c r="O84" s="10"/>
      <c r="P84" s="139"/>
      <c r="Q84" s="139"/>
    </row>
    <row r="85" spans="1:17" ht="13.8" thickBot="1" x14ac:dyDescent="0.3">
      <c r="A85" s="11"/>
      <c r="B85" s="53">
        <v>72</v>
      </c>
      <c r="C85" s="57">
        <f t="shared" si="7"/>
        <v>0</v>
      </c>
      <c r="D85" s="17">
        <f t="shared" si="4"/>
        <v>-2.3495279795800643E-13</v>
      </c>
      <c r="E85" s="17">
        <f t="shared" si="5"/>
        <v>0</v>
      </c>
      <c r="F85" s="48">
        <f t="shared" si="6"/>
        <v>-2.8194335754960775E-11</v>
      </c>
      <c r="G85" s="24"/>
      <c r="H85" s="24"/>
      <c r="I85" s="10"/>
      <c r="J85" s="10"/>
      <c r="K85" s="10"/>
      <c r="L85" s="10"/>
      <c r="M85" s="10"/>
      <c r="N85" s="10"/>
      <c r="O85" s="10"/>
      <c r="P85" s="139"/>
      <c r="Q85" s="139"/>
    </row>
    <row r="86" spans="1:17" x14ac:dyDescent="0.25">
      <c r="A86" s="11"/>
      <c r="B86" s="24"/>
      <c r="C86" s="24"/>
      <c r="D86" s="24"/>
      <c r="E86" s="24"/>
      <c r="F86" s="24"/>
      <c r="G86" s="24"/>
      <c r="H86" s="24"/>
      <c r="I86" s="10"/>
      <c r="J86" s="10"/>
      <c r="K86" s="10"/>
      <c r="L86" s="10"/>
      <c r="M86" s="10"/>
      <c r="N86" s="10"/>
      <c r="O86" s="25"/>
      <c r="P86" s="139"/>
      <c r="Q86" s="139"/>
    </row>
    <row r="87" spans="1:17" x14ac:dyDescent="0.25">
      <c r="A87" s="11"/>
      <c r="B87" s="24"/>
      <c r="C87" s="24"/>
      <c r="D87" s="24"/>
      <c r="E87" s="24"/>
      <c r="F87" s="24"/>
      <c r="G87" s="24"/>
      <c r="H87" s="24"/>
      <c r="I87" s="10"/>
      <c r="J87" s="10"/>
      <c r="K87" s="10"/>
      <c r="L87" s="10"/>
      <c r="M87" s="10"/>
      <c r="N87" s="10"/>
      <c r="O87" s="25"/>
      <c r="P87" s="139"/>
      <c r="Q87" s="139"/>
    </row>
    <row r="88" spans="1:17" x14ac:dyDescent="0.25">
      <c r="A88" s="22"/>
      <c r="B88" s="19"/>
      <c r="C88" s="24"/>
      <c r="D88" s="26"/>
      <c r="E88" s="24"/>
      <c r="F88" s="24"/>
      <c r="G88" s="24"/>
      <c r="H88" s="24"/>
      <c r="I88" s="19"/>
      <c r="J88" s="19"/>
      <c r="K88" s="24"/>
      <c r="L88" s="24"/>
      <c r="M88" s="24"/>
      <c r="N88" s="26"/>
      <c r="O88" s="139"/>
      <c r="P88" s="4"/>
      <c r="Q88" s="139"/>
    </row>
    <row r="89" spans="1:17" x14ac:dyDescent="0.25">
      <c r="A89" s="11"/>
      <c r="B89" s="148"/>
      <c r="C89" s="148"/>
      <c r="D89" s="148"/>
      <c r="E89" s="148"/>
      <c r="F89" s="148"/>
      <c r="G89" s="24"/>
      <c r="H89" s="24"/>
      <c r="I89" s="26"/>
      <c r="J89" s="148"/>
      <c r="K89" s="149"/>
      <c r="L89" s="149"/>
      <c r="M89" s="149"/>
      <c r="N89" s="149"/>
      <c r="O89" s="149"/>
      <c r="P89" s="4"/>
      <c r="Q89" s="139"/>
    </row>
    <row r="90" spans="1:17" x14ac:dyDescent="0.25">
      <c r="A90" s="11"/>
      <c r="B90" s="27"/>
      <c r="C90" s="28"/>
      <c r="D90" s="28"/>
      <c r="E90" s="28"/>
      <c r="F90" s="28"/>
      <c r="G90" s="26"/>
      <c r="H90" s="24"/>
      <c r="I90" s="24"/>
      <c r="J90" s="16"/>
      <c r="K90" s="16"/>
      <c r="L90" s="16"/>
      <c r="M90" s="16"/>
      <c r="N90" s="16"/>
      <c r="O90" s="16"/>
      <c r="P90" s="16"/>
      <c r="Q90" s="139"/>
    </row>
    <row r="91" spans="1:17" x14ac:dyDescent="0.25">
      <c r="A91" s="11"/>
      <c r="B91" s="16"/>
      <c r="C91" s="16"/>
      <c r="D91" s="16"/>
      <c r="E91" s="16"/>
      <c r="F91" s="16"/>
      <c r="G91" s="16"/>
      <c r="H91" s="24"/>
      <c r="I91" s="24"/>
      <c r="J91" s="16"/>
      <c r="K91" s="16"/>
      <c r="L91" s="16"/>
      <c r="M91" s="16"/>
      <c r="N91" s="16"/>
      <c r="O91" s="16"/>
      <c r="P91" s="16"/>
      <c r="Q91" s="139"/>
    </row>
    <row r="92" spans="1:17" x14ac:dyDescent="0.25">
      <c r="A92" s="11"/>
      <c r="B92" s="16"/>
      <c r="C92" s="16"/>
      <c r="D92" s="16"/>
      <c r="E92" s="16"/>
      <c r="F92" s="16"/>
      <c r="G92" s="16"/>
      <c r="H92" s="24"/>
      <c r="I92" s="24"/>
      <c r="J92" s="16"/>
      <c r="K92" s="16"/>
      <c r="L92" s="16"/>
      <c r="M92" s="16"/>
      <c r="N92" s="16"/>
      <c r="O92" s="16"/>
      <c r="P92" s="16"/>
      <c r="Q92" s="139"/>
    </row>
    <row r="93" spans="1:17" x14ac:dyDescent="0.25">
      <c r="A93" s="11"/>
      <c r="B93" s="16"/>
      <c r="C93" s="16"/>
      <c r="D93" s="16"/>
      <c r="E93" s="16"/>
      <c r="F93" s="16"/>
      <c r="G93" s="16"/>
      <c r="H93" s="24"/>
      <c r="I93" s="24"/>
      <c r="J93" s="16"/>
      <c r="K93" s="16"/>
      <c r="L93" s="16"/>
      <c r="M93" s="16"/>
      <c r="N93" s="16"/>
      <c r="O93" s="16"/>
      <c r="P93" s="16"/>
      <c r="Q93" s="139"/>
    </row>
    <row r="94" spans="1:17" x14ac:dyDescent="0.25">
      <c r="A94" s="11"/>
      <c r="B94" s="16"/>
      <c r="C94" s="16"/>
      <c r="D94" s="16"/>
      <c r="E94" s="16"/>
      <c r="F94" s="16"/>
      <c r="G94" s="16"/>
      <c r="H94" s="24"/>
      <c r="I94" s="24"/>
      <c r="J94" s="16"/>
      <c r="K94" s="16"/>
      <c r="L94" s="16"/>
      <c r="M94" s="16"/>
      <c r="N94" s="16"/>
      <c r="O94" s="178"/>
      <c r="P94" s="178"/>
      <c r="Q94" s="139"/>
    </row>
    <row r="95" spans="1:17" x14ac:dyDescent="0.25">
      <c r="A95" s="11"/>
      <c r="B95" s="16"/>
      <c r="C95" s="16"/>
      <c r="D95" s="16"/>
      <c r="E95" s="16"/>
      <c r="F95" s="16"/>
      <c r="G95" s="16"/>
      <c r="H95" s="24"/>
      <c r="I95" s="150"/>
      <c r="J95" s="24"/>
      <c r="K95" s="24"/>
      <c r="L95" s="24"/>
      <c r="M95" s="24"/>
      <c r="N95" s="24"/>
      <c r="O95" s="139"/>
      <c r="P95" s="139"/>
      <c r="Q95" s="139"/>
    </row>
    <row r="96" spans="1:17" x14ac:dyDescent="0.25">
      <c r="A96" s="11"/>
      <c r="B96" s="16"/>
      <c r="C96" s="16"/>
      <c r="D96" s="16"/>
      <c r="E96" s="16"/>
      <c r="F96" s="16"/>
      <c r="G96" s="16"/>
      <c r="H96" s="24"/>
      <c r="I96" s="24"/>
      <c r="J96" s="24"/>
      <c r="K96" s="24"/>
      <c r="L96" s="24"/>
      <c r="M96" s="24"/>
      <c r="N96" s="24"/>
      <c r="O96" s="139"/>
      <c r="P96" s="139"/>
      <c r="Q96" s="139"/>
    </row>
    <row r="97" spans="1:17" x14ac:dyDescent="0.25">
      <c r="A97" s="11"/>
      <c r="B97" s="16"/>
      <c r="C97" s="16"/>
      <c r="D97" s="16"/>
      <c r="E97" s="16"/>
      <c r="F97" s="16"/>
      <c r="G97" s="16"/>
      <c r="H97" s="24"/>
      <c r="I97" s="24"/>
      <c r="J97" s="24"/>
      <c r="K97" s="24"/>
      <c r="L97" s="24"/>
      <c r="M97" s="24"/>
      <c r="N97" s="24"/>
      <c r="O97" s="139"/>
      <c r="P97" s="139"/>
      <c r="Q97" s="139"/>
    </row>
    <row r="98" spans="1:17" x14ac:dyDescent="0.25">
      <c r="A98" s="11"/>
      <c r="B98" s="16"/>
      <c r="C98" s="16"/>
      <c r="D98" s="16"/>
      <c r="E98" s="16"/>
      <c r="F98" s="16"/>
      <c r="G98" s="16"/>
      <c r="H98" s="24"/>
      <c r="I98" s="24"/>
      <c r="J98" s="24"/>
      <c r="K98" s="24"/>
      <c r="L98" s="24"/>
      <c r="M98" s="24"/>
      <c r="N98" s="24"/>
      <c r="O98" s="139"/>
      <c r="P98" s="139"/>
      <c r="Q98" s="139"/>
    </row>
    <row r="99" spans="1:17" x14ac:dyDescent="0.25">
      <c r="A99" s="11"/>
      <c r="B99" s="16"/>
      <c r="C99" s="16"/>
      <c r="D99" s="16"/>
      <c r="E99" s="16"/>
      <c r="F99" s="16"/>
      <c r="G99" s="16"/>
      <c r="H99" s="24"/>
      <c r="I99" s="24"/>
      <c r="J99" s="24"/>
      <c r="K99" s="24"/>
      <c r="L99" s="24"/>
      <c r="M99" s="24"/>
      <c r="N99" s="24"/>
      <c r="O99" s="139"/>
      <c r="P99" s="139"/>
      <c r="Q99" s="139"/>
    </row>
    <row r="100" spans="1:17" x14ac:dyDescent="0.25">
      <c r="A100" s="11"/>
      <c r="B100" s="16"/>
      <c r="C100" s="16"/>
      <c r="D100" s="16"/>
      <c r="E100" s="16"/>
      <c r="F100" s="16"/>
      <c r="G100" s="16"/>
      <c r="H100" s="24"/>
      <c r="I100" s="24"/>
      <c r="J100" s="24"/>
      <c r="K100" s="24"/>
      <c r="L100" s="24"/>
      <c r="M100" s="24"/>
      <c r="N100" s="24"/>
      <c r="O100" s="139"/>
      <c r="P100" s="139"/>
      <c r="Q100" s="139"/>
    </row>
    <row r="101" spans="1:17" x14ac:dyDescent="0.25">
      <c r="A101" s="11"/>
      <c r="B101" s="16"/>
      <c r="C101" s="16"/>
      <c r="D101" s="16"/>
      <c r="E101" s="16"/>
      <c r="F101" s="16"/>
      <c r="G101" s="16"/>
      <c r="H101" s="24"/>
      <c r="I101" s="24"/>
      <c r="J101" s="24"/>
      <c r="K101" s="24"/>
      <c r="L101" s="24"/>
      <c r="M101" s="24"/>
      <c r="N101" s="24"/>
      <c r="O101" s="139"/>
      <c r="P101" s="139"/>
      <c r="Q101" s="139"/>
    </row>
    <row r="102" spans="1:17" x14ac:dyDescent="0.25">
      <c r="A102" s="11"/>
      <c r="B102" s="16"/>
      <c r="C102" s="16"/>
      <c r="D102" s="16"/>
      <c r="E102" s="16"/>
      <c r="F102" s="16"/>
      <c r="G102" s="16"/>
      <c r="H102" s="24"/>
      <c r="I102" s="24"/>
      <c r="J102" s="24"/>
      <c r="K102" s="24"/>
      <c r="L102" s="24"/>
      <c r="M102" s="24"/>
      <c r="N102" s="24"/>
      <c r="O102" s="139"/>
      <c r="P102" s="139"/>
      <c r="Q102" s="139"/>
    </row>
    <row r="103" spans="1:17" x14ac:dyDescent="0.25">
      <c r="A103" s="11"/>
      <c r="B103" s="16"/>
      <c r="C103" s="16"/>
      <c r="D103" s="16"/>
      <c r="E103" s="16"/>
      <c r="F103" s="16"/>
      <c r="G103" s="16"/>
      <c r="H103" s="24"/>
      <c r="I103" s="24"/>
      <c r="J103" s="24"/>
      <c r="K103" s="24"/>
      <c r="L103" s="24"/>
      <c r="M103" s="24"/>
      <c r="N103" s="24"/>
      <c r="O103" s="139"/>
      <c r="P103" s="139"/>
      <c r="Q103" s="139"/>
    </row>
    <row r="104" spans="1:17" x14ac:dyDescent="0.25">
      <c r="A104" s="11"/>
      <c r="B104" s="16"/>
      <c r="C104" s="16"/>
      <c r="D104" s="16"/>
      <c r="E104" s="16"/>
      <c r="F104" s="16"/>
      <c r="G104" s="16"/>
      <c r="H104" s="24"/>
      <c r="I104" s="24"/>
      <c r="J104" s="24"/>
      <c r="K104" s="24"/>
      <c r="L104" s="24"/>
      <c r="M104" s="24"/>
      <c r="N104" s="24"/>
      <c r="O104" s="139"/>
      <c r="P104" s="139"/>
      <c r="Q104" s="139"/>
    </row>
    <row r="105" spans="1:17" x14ac:dyDescent="0.25">
      <c r="A105" s="11"/>
      <c r="B105" s="16"/>
      <c r="C105" s="16"/>
      <c r="D105" s="16"/>
      <c r="E105" s="16"/>
      <c r="F105" s="16"/>
      <c r="G105" s="16"/>
      <c r="H105" s="24"/>
      <c r="I105" s="24"/>
      <c r="J105" s="24"/>
      <c r="K105" s="24"/>
      <c r="L105" s="24"/>
      <c r="M105" s="24"/>
      <c r="N105" s="24"/>
      <c r="O105" s="139"/>
      <c r="P105" s="139"/>
      <c r="Q105" s="139"/>
    </row>
    <row r="106" spans="1:17" x14ac:dyDescent="0.25">
      <c r="A106" s="11"/>
      <c r="B106" s="16"/>
      <c r="C106" s="16"/>
      <c r="D106" s="16"/>
      <c r="E106" s="16"/>
      <c r="F106" s="16"/>
      <c r="G106" s="16"/>
      <c r="H106" s="24"/>
      <c r="I106" s="24"/>
      <c r="J106" s="24"/>
      <c r="K106" s="24"/>
      <c r="L106" s="24"/>
      <c r="M106" s="24"/>
      <c r="N106" s="24"/>
      <c r="O106" s="139"/>
      <c r="P106" s="139"/>
      <c r="Q106" s="139"/>
    </row>
    <row r="107" spans="1:17" x14ac:dyDescent="0.25">
      <c r="A107" s="11"/>
      <c r="B107" s="16"/>
      <c r="C107" s="16"/>
      <c r="D107" s="16"/>
      <c r="E107" s="16"/>
      <c r="F107" s="16"/>
      <c r="G107" s="16"/>
      <c r="H107" s="24"/>
      <c r="I107" s="24"/>
      <c r="J107" s="24"/>
      <c r="K107" s="24"/>
      <c r="L107" s="24"/>
      <c r="M107" s="24"/>
      <c r="N107" s="24"/>
      <c r="O107" s="139"/>
      <c r="P107" s="139"/>
      <c r="Q107" s="139"/>
    </row>
    <row r="108" spans="1:17" x14ac:dyDescent="0.25">
      <c r="A108" s="11"/>
      <c r="B108" s="16"/>
      <c r="C108" s="16"/>
      <c r="D108" s="16"/>
      <c r="E108" s="16"/>
      <c r="F108" s="16"/>
      <c r="G108" s="16"/>
      <c r="H108" s="24"/>
      <c r="I108" s="24"/>
      <c r="J108" s="24"/>
      <c r="K108" s="24"/>
      <c r="L108" s="24"/>
      <c r="M108" s="24"/>
      <c r="N108" s="24"/>
      <c r="O108" s="139"/>
      <c r="P108" s="139"/>
      <c r="Q108" s="139"/>
    </row>
    <row r="109" spans="1:17" x14ac:dyDescent="0.25">
      <c r="A109" s="11"/>
      <c r="B109" s="16"/>
      <c r="C109" s="16"/>
      <c r="D109" s="16"/>
      <c r="E109" s="16"/>
      <c r="F109" s="16"/>
      <c r="G109" s="16"/>
      <c r="H109" s="24"/>
      <c r="I109" s="24"/>
      <c r="J109" s="24"/>
      <c r="K109" s="24"/>
      <c r="L109" s="24"/>
      <c r="M109" s="24"/>
      <c r="N109" s="24"/>
      <c r="O109" s="139"/>
      <c r="P109" s="139"/>
      <c r="Q109" s="139"/>
    </row>
    <row r="110" spans="1:17" x14ac:dyDescent="0.25">
      <c r="A110" s="11"/>
      <c r="B110" s="16"/>
      <c r="C110" s="16"/>
      <c r="D110" s="16"/>
      <c r="E110" s="16"/>
      <c r="F110" s="16"/>
      <c r="G110" s="16"/>
      <c r="H110" s="24"/>
      <c r="I110" s="24"/>
      <c r="J110" s="24"/>
      <c r="K110" s="24"/>
      <c r="L110" s="24"/>
      <c r="M110" s="24"/>
      <c r="N110" s="24"/>
      <c r="O110" s="139"/>
      <c r="P110" s="139"/>
      <c r="Q110" s="139"/>
    </row>
    <row r="111" spans="1:17" x14ac:dyDescent="0.25">
      <c r="A111" s="11"/>
      <c r="B111" s="16"/>
      <c r="C111" s="16"/>
      <c r="D111" s="16"/>
      <c r="E111" s="16"/>
      <c r="F111" s="16"/>
      <c r="G111" s="16"/>
      <c r="H111" s="24"/>
      <c r="I111" s="24"/>
      <c r="J111" s="24"/>
      <c r="K111" s="24"/>
      <c r="L111" s="24"/>
      <c r="M111" s="24"/>
      <c r="N111" s="24"/>
      <c r="O111" s="139"/>
      <c r="P111" s="139"/>
      <c r="Q111" s="139"/>
    </row>
    <row r="112" spans="1:17" x14ac:dyDescent="0.25">
      <c r="A112" s="22"/>
      <c r="B112" s="16"/>
      <c r="C112" s="16"/>
      <c r="D112" s="16"/>
      <c r="E112" s="16"/>
      <c r="F112" s="16"/>
      <c r="G112" s="16"/>
      <c r="H112" s="24"/>
      <c r="I112" s="24"/>
      <c r="J112" s="24"/>
      <c r="K112" s="24"/>
      <c r="L112" s="24"/>
      <c r="M112" s="24"/>
      <c r="N112" s="24"/>
      <c r="O112" s="139"/>
      <c r="P112" s="139"/>
      <c r="Q112" s="139"/>
    </row>
    <row r="113" spans="1:17" x14ac:dyDescent="0.25">
      <c r="A113" s="22"/>
      <c r="B113" s="24"/>
      <c r="C113" s="24"/>
      <c r="D113" s="24"/>
      <c r="E113" s="24"/>
      <c r="F113" s="24"/>
      <c r="G113" s="24"/>
      <c r="H113" s="24"/>
      <c r="I113" s="24"/>
      <c r="J113" s="24"/>
      <c r="K113" s="24"/>
      <c r="L113" s="24"/>
      <c r="M113" s="24"/>
      <c r="N113" s="24"/>
      <c r="O113" s="139"/>
      <c r="P113" s="139"/>
      <c r="Q113" s="139"/>
    </row>
    <row r="114" spans="1:17" x14ac:dyDescent="0.25">
      <c r="A114" s="22"/>
      <c r="B114" s="24"/>
      <c r="C114" s="24"/>
      <c r="D114" s="24"/>
      <c r="E114" s="24"/>
      <c r="F114" s="24"/>
      <c r="G114" s="24"/>
      <c r="H114" s="24"/>
      <c r="I114" s="24"/>
      <c r="J114" s="24"/>
      <c r="K114" s="24"/>
      <c r="L114" s="24"/>
      <c r="M114" s="24"/>
      <c r="N114" s="24"/>
      <c r="O114" s="139"/>
      <c r="P114" s="139"/>
      <c r="Q114" s="139"/>
    </row>
    <row r="115" spans="1:17" ht="15.6" x14ac:dyDescent="0.3">
      <c r="A115" s="40"/>
      <c r="B115" s="151"/>
      <c r="C115" s="146"/>
      <c r="D115" s="146"/>
      <c r="E115" s="146"/>
      <c r="F115" s="146"/>
      <c r="G115" s="146"/>
      <c r="H115" s="146"/>
      <c r="I115" s="146"/>
      <c r="J115" s="146"/>
      <c r="K115" s="146"/>
      <c r="L115" s="146"/>
      <c r="M115" s="146"/>
      <c r="N115" s="146"/>
      <c r="O115" s="179"/>
      <c r="P115" s="4"/>
      <c r="Q115" s="139"/>
    </row>
    <row r="116" spans="1:17" x14ac:dyDescent="0.25">
      <c r="A116" s="32"/>
      <c r="B116" s="152"/>
      <c r="C116" s="152"/>
      <c r="D116" s="152"/>
      <c r="E116" s="152"/>
      <c r="F116" s="152"/>
      <c r="G116" s="152"/>
      <c r="H116" s="152"/>
      <c r="I116" s="152"/>
      <c r="J116" s="152"/>
      <c r="K116" s="152"/>
      <c r="L116" s="152"/>
      <c r="M116" s="152"/>
      <c r="N116" s="30"/>
      <c r="O116" s="180"/>
      <c r="P116" s="139"/>
      <c r="Q116" s="139"/>
    </row>
    <row r="117" spans="1:17" x14ac:dyDescent="0.25">
      <c r="A117" s="40"/>
      <c r="B117" s="152"/>
      <c r="C117" s="30"/>
      <c r="D117" s="30"/>
      <c r="E117" s="30"/>
      <c r="F117" s="30"/>
      <c r="G117" s="30"/>
      <c r="H117" s="30"/>
      <c r="I117" s="30"/>
      <c r="J117" s="30"/>
      <c r="K117" s="30"/>
      <c r="L117" s="30"/>
      <c r="M117" s="30"/>
      <c r="N117" s="30"/>
      <c r="O117" s="180"/>
      <c r="P117" s="139"/>
      <c r="Q117" s="139"/>
    </row>
    <row r="118" spans="1:17" x14ac:dyDescent="0.25">
      <c r="A118" s="153"/>
      <c r="B118" s="152"/>
      <c r="C118" s="30"/>
      <c r="D118" s="30"/>
      <c r="E118" s="30"/>
      <c r="F118" s="30"/>
      <c r="G118" s="30"/>
      <c r="H118" s="30"/>
      <c r="I118" s="30"/>
      <c r="J118" s="30"/>
      <c r="K118" s="30"/>
      <c r="L118" s="30"/>
      <c r="M118" s="30"/>
      <c r="N118" s="30"/>
      <c r="O118" s="180"/>
      <c r="P118" s="139"/>
      <c r="Q118" s="139"/>
    </row>
    <row r="119" spans="1:17" x14ac:dyDescent="0.25">
      <c r="A119" s="153"/>
      <c r="B119" s="152"/>
      <c r="C119" s="152"/>
      <c r="D119" s="152"/>
      <c r="E119" s="152"/>
      <c r="F119" s="152"/>
      <c r="G119" s="152"/>
      <c r="H119" s="152"/>
      <c r="I119" s="152"/>
      <c r="J119" s="152"/>
      <c r="K119" s="152"/>
      <c r="L119" s="152"/>
      <c r="M119" s="152"/>
      <c r="N119" s="30"/>
      <c r="O119" s="180"/>
      <c r="P119" s="139"/>
      <c r="Q119" s="139"/>
    </row>
    <row r="120" spans="1:17" x14ac:dyDescent="0.25">
      <c r="A120" s="31"/>
      <c r="B120" s="152"/>
      <c r="C120" s="30"/>
      <c r="D120" s="30"/>
      <c r="E120" s="30"/>
      <c r="F120" s="30"/>
      <c r="G120" s="30"/>
      <c r="H120" s="30"/>
      <c r="I120" s="30"/>
      <c r="J120" s="30"/>
      <c r="K120" s="30"/>
      <c r="L120" s="30"/>
      <c r="M120" s="30"/>
      <c r="N120" s="30"/>
      <c r="O120" s="139"/>
      <c r="P120" s="139"/>
      <c r="Q120" s="139"/>
    </row>
    <row r="121" spans="1:17" x14ac:dyDescent="0.25">
      <c r="A121" s="31"/>
      <c r="B121" s="152"/>
      <c r="C121" s="30"/>
      <c r="D121" s="30"/>
      <c r="E121" s="30"/>
      <c r="F121" s="30"/>
      <c r="G121" s="30"/>
      <c r="H121" s="30"/>
      <c r="I121" s="30"/>
      <c r="J121" s="30"/>
      <c r="K121" s="30"/>
      <c r="L121" s="30"/>
      <c r="M121" s="30"/>
      <c r="N121" s="30"/>
      <c r="O121" s="139"/>
      <c r="P121" s="139"/>
      <c r="Q121" s="139"/>
    </row>
    <row r="122" spans="1:17" x14ac:dyDescent="0.25">
      <c r="A122" s="31"/>
      <c r="B122" s="152"/>
      <c r="C122" s="30"/>
      <c r="D122" s="30"/>
      <c r="E122" s="30"/>
      <c r="F122" s="30"/>
      <c r="G122" s="30"/>
      <c r="H122" s="30"/>
      <c r="I122" s="30"/>
      <c r="J122" s="30"/>
      <c r="K122" s="30"/>
      <c r="L122" s="30"/>
      <c r="M122" s="30"/>
      <c r="N122" s="30"/>
      <c r="O122" s="139"/>
      <c r="P122" s="139"/>
      <c r="Q122" s="139"/>
    </row>
    <row r="123" spans="1:17" x14ac:dyDescent="0.25">
      <c r="A123" s="31"/>
      <c r="B123" s="152"/>
      <c r="C123" s="30"/>
      <c r="D123" s="30"/>
      <c r="E123" s="30"/>
      <c r="F123" s="30"/>
      <c r="G123" s="30"/>
      <c r="H123" s="30"/>
      <c r="I123" s="30"/>
      <c r="J123" s="30"/>
      <c r="K123" s="30"/>
      <c r="L123" s="30"/>
      <c r="M123" s="30"/>
      <c r="N123" s="30"/>
      <c r="O123" s="139"/>
      <c r="P123" s="139"/>
      <c r="Q123" s="139"/>
    </row>
    <row r="124" spans="1:17" x14ac:dyDescent="0.25">
      <c r="A124" s="31"/>
      <c r="B124" s="152"/>
      <c r="C124" s="30"/>
      <c r="D124" s="30"/>
      <c r="E124" s="30"/>
      <c r="F124" s="30"/>
      <c r="G124" s="30"/>
      <c r="H124" s="30"/>
      <c r="I124" s="30"/>
      <c r="J124" s="30"/>
      <c r="K124" s="30"/>
      <c r="L124" s="30"/>
      <c r="M124" s="30"/>
      <c r="N124" s="30"/>
      <c r="O124" s="139"/>
      <c r="P124" s="139"/>
      <c r="Q124" s="139"/>
    </row>
    <row r="125" spans="1:17" x14ac:dyDescent="0.25">
      <c r="A125" s="31"/>
      <c r="B125" s="30"/>
      <c r="C125" s="30"/>
      <c r="D125" s="30"/>
      <c r="E125" s="30"/>
      <c r="F125" s="30"/>
      <c r="G125" s="30"/>
      <c r="H125" s="30"/>
      <c r="I125" s="30"/>
      <c r="J125" s="30"/>
      <c r="K125" s="30"/>
      <c r="L125" s="30"/>
      <c r="M125" s="30"/>
      <c r="N125" s="30"/>
      <c r="O125" s="139"/>
      <c r="P125" s="139"/>
      <c r="Q125" s="139"/>
    </row>
    <row r="126" spans="1:17" x14ac:dyDescent="0.25">
      <c r="A126" s="154"/>
      <c r="B126" s="30"/>
      <c r="C126" s="30"/>
      <c r="D126" s="30"/>
      <c r="E126" s="30"/>
      <c r="F126" s="30"/>
      <c r="G126" s="30"/>
      <c r="H126" s="30"/>
      <c r="I126" s="30"/>
      <c r="J126" s="30"/>
      <c r="K126" s="30"/>
      <c r="L126" s="30"/>
      <c r="M126" s="30"/>
      <c r="N126" s="30"/>
      <c r="O126" s="139"/>
      <c r="P126" s="139"/>
      <c r="Q126" s="139"/>
    </row>
    <row r="127" spans="1:17" x14ac:dyDescent="0.25">
      <c r="A127" s="34"/>
      <c r="B127" s="30"/>
      <c r="C127" s="30"/>
      <c r="D127" s="30"/>
      <c r="E127" s="30"/>
      <c r="F127" s="30"/>
      <c r="G127" s="30"/>
      <c r="H127" s="30"/>
      <c r="I127" s="30"/>
      <c r="J127" s="30"/>
      <c r="K127" s="30"/>
      <c r="L127" s="30"/>
      <c r="M127" s="30"/>
      <c r="N127" s="30"/>
      <c r="O127" s="139"/>
      <c r="P127" s="139"/>
      <c r="Q127" s="139"/>
    </row>
    <row r="128" spans="1:17" x14ac:dyDescent="0.25">
      <c r="A128" s="32"/>
      <c r="B128" s="30"/>
      <c r="C128" s="30"/>
      <c r="D128" s="30"/>
      <c r="E128" s="30"/>
      <c r="F128" s="30"/>
      <c r="G128" s="30"/>
      <c r="H128" s="30"/>
      <c r="I128" s="30"/>
      <c r="J128" s="30"/>
      <c r="K128" s="30"/>
      <c r="L128" s="30"/>
      <c r="M128" s="30"/>
      <c r="N128" s="30"/>
      <c r="O128" s="180"/>
      <c r="P128" s="139"/>
      <c r="Q128" s="139"/>
    </row>
    <row r="129" spans="1:17" x14ac:dyDescent="0.25">
      <c r="A129" s="32"/>
      <c r="B129" s="30"/>
      <c r="C129" s="30"/>
      <c r="D129" s="30"/>
      <c r="E129" s="30"/>
      <c r="F129" s="30"/>
      <c r="G129" s="30"/>
      <c r="H129" s="30"/>
      <c r="I129" s="30"/>
      <c r="J129" s="30"/>
      <c r="K129" s="30"/>
      <c r="L129" s="30"/>
      <c r="M129" s="30"/>
      <c r="N129" s="30"/>
      <c r="O129" s="180"/>
      <c r="P129" s="139"/>
      <c r="Q129" s="139"/>
    </row>
    <row r="130" spans="1:17" x14ac:dyDescent="0.25">
      <c r="A130" s="32"/>
      <c r="B130" s="30"/>
      <c r="C130" s="30"/>
      <c r="D130" s="30"/>
      <c r="E130" s="30"/>
      <c r="F130" s="30"/>
      <c r="G130" s="30"/>
      <c r="H130" s="30"/>
      <c r="I130" s="30"/>
      <c r="J130" s="30"/>
      <c r="K130" s="30"/>
      <c r="L130" s="30"/>
      <c r="M130" s="30"/>
      <c r="N130" s="30"/>
      <c r="O130" s="180"/>
      <c r="P130" s="139"/>
      <c r="Q130" s="139"/>
    </row>
    <row r="131" spans="1:17" x14ac:dyDescent="0.25">
      <c r="A131" s="32"/>
      <c r="B131" s="30"/>
      <c r="C131" s="30"/>
      <c r="D131" s="30"/>
      <c r="E131" s="30"/>
      <c r="F131" s="30"/>
      <c r="G131" s="30"/>
      <c r="H131" s="30"/>
      <c r="I131" s="30"/>
      <c r="J131" s="30"/>
      <c r="K131" s="30"/>
      <c r="L131" s="30"/>
      <c r="M131" s="30"/>
      <c r="N131" s="30"/>
      <c r="O131" s="180"/>
      <c r="P131" s="139"/>
      <c r="Q131" s="139"/>
    </row>
    <row r="132" spans="1:17" x14ac:dyDescent="0.25">
      <c r="A132" s="32"/>
      <c r="B132" s="30"/>
      <c r="C132" s="30"/>
      <c r="D132" s="30"/>
      <c r="E132" s="30"/>
      <c r="F132" s="30"/>
      <c r="G132" s="30"/>
      <c r="H132" s="30"/>
      <c r="I132" s="30"/>
      <c r="J132" s="30"/>
      <c r="K132" s="30"/>
      <c r="L132" s="30"/>
      <c r="M132" s="30"/>
      <c r="N132" s="30"/>
      <c r="O132" s="180"/>
      <c r="P132" s="139"/>
      <c r="Q132" s="139"/>
    </row>
    <row r="133" spans="1:17" x14ac:dyDescent="0.25">
      <c r="A133" s="32"/>
      <c r="B133" s="30"/>
      <c r="C133" s="30"/>
      <c r="D133" s="30"/>
      <c r="E133" s="30"/>
      <c r="F133" s="30"/>
      <c r="G133" s="30"/>
      <c r="H133" s="30"/>
      <c r="I133" s="30"/>
      <c r="J133" s="30"/>
      <c r="K133" s="30"/>
      <c r="L133" s="30"/>
      <c r="M133" s="30"/>
      <c r="N133" s="30"/>
      <c r="O133" s="180"/>
      <c r="P133" s="139"/>
      <c r="Q133" s="139"/>
    </row>
    <row r="134" spans="1:17" x14ac:dyDescent="0.25">
      <c r="A134" s="32"/>
      <c r="B134" s="30"/>
      <c r="C134" s="30"/>
      <c r="D134" s="30"/>
      <c r="E134" s="30"/>
      <c r="F134" s="30"/>
      <c r="G134" s="30"/>
      <c r="H134" s="30"/>
      <c r="I134" s="30"/>
      <c r="J134" s="30"/>
      <c r="K134" s="30"/>
      <c r="L134" s="30"/>
      <c r="M134" s="30"/>
      <c r="N134" s="30"/>
      <c r="O134" s="180"/>
      <c r="P134" s="139"/>
      <c r="Q134" s="139"/>
    </row>
    <row r="135" spans="1:17" x14ac:dyDescent="0.25">
      <c r="A135" s="32"/>
      <c r="B135" s="33"/>
      <c r="C135" s="33"/>
      <c r="D135" s="33"/>
      <c r="E135" s="33"/>
      <c r="F135" s="33"/>
      <c r="G135" s="33"/>
      <c r="H135" s="33"/>
      <c r="I135" s="33"/>
      <c r="J135" s="33"/>
      <c r="K135" s="33"/>
      <c r="L135" s="33"/>
      <c r="M135" s="33"/>
      <c r="N135" s="30"/>
      <c r="O135" s="180"/>
      <c r="P135" s="139"/>
      <c r="Q135" s="139"/>
    </row>
    <row r="136" spans="1:17" x14ac:dyDescent="0.25">
      <c r="A136" s="32"/>
      <c r="B136" s="33"/>
      <c r="C136" s="33"/>
      <c r="D136" s="33"/>
      <c r="E136" s="33"/>
      <c r="F136" s="33"/>
      <c r="G136" s="33"/>
      <c r="H136" s="33"/>
      <c r="I136" s="33"/>
      <c r="J136" s="33"/>
      <c r="K136" s="33"/>
      <c r="L136" s="33"/>
      <c r="M136" s="33"/>
      <c r="N136" s="30"/>
      <c r="O136" s="180"/>
      <c r="P136" s="139"/>
      <c r="Q136" s="139"/>
    </row>
    <row r="137" spans="1:17" x14ac:dyDescent="0.25">
      <c r="A137" s="32"/>
      <c r="B137" s="33"/>
      <c r="C137" s="33"/>
      <c r="D137" s="33"/>
      <c r="E137" s="33"/>
      <c r="F137" s="33"/>
      <c r="G137" s="33"/>
      <c r="H137" s="33"/>
      <c r="I137" s="33"/>
      <c r="J137" s="33"/>
      <c r="K137" s="33"/>
      <c r="L137" s="33"/>
      <c r="M137" s="33"/>
      <c r="N137" s="30"/>
      <c r="O137" s="180"/>
      <c r="P137" s="139"/>
      <c r="Q137" s="139"/>
    </row>
    <row r="138" spans="1:17" x14ac:dyDescent="0.25">
      <c r="A138" s="32"/>
      <c r="B138" s="33"/>
      <c r="C138" s="33"/>
      <c r="D138" s="33"/>
      <c r="E138" s="33"/>
      <c r="F138" s="33"/>
      <c r="G138" s="33"/>
      <c r="H138" s="33"/>
      <c r="I138" s="33"/>
      <c r="J138" s="33"/>
      <c r="K138" s="33"/>
      <c r="L138" s="33"/>
      <c r="M138" s="33"/>
      <c r="N138" s="30"/>
      <c r="O138" s="180"/>
      <c r="P138" s="139"/>
      <c r="Q138" s="139"/>
    </row>
    <row r="139" spans="1:17" x14ac:dyDescent="0.25">
      <c r="A139" s="32"/>
      <c r="B139" s="33"/>
      <c r="C139" s="33"/>
      <c r="D139" s="33"/>
      <c r="E139" s="33"/>
      <c r="F139" s="33"/>
      <c r="G139" s="33"/>
      <c r="H139" s="33"/>
      <c r="I139" s="33"/>
      <c r="J139" s="33"/>
      <c r="K139" s="33"/>
      <c r="L139" s="33"/>
      <c r="M139" s="33"/>
      <c r="N139" s="30"/>
      <c r="O139" s="180"/>
      <c r="P139" s="139"/>
      <c r="Q139" s="139"/>
    </row>
    <row r="140" spans="1:17" x14ac:dyDescent="0.25">
      <c r="A140" s="32"/>
      <c r="B140" s="33"/>
      <c r="C140" s="33"/>
      <c r="D140" s="33"/>
      <c r="E140" s="33"/>
      <c r="F140" s="33"/>
      <c r="G140" s="33"/>
      <c r="H140" s="33"/>
      <c r="I140" s="33"/>
      <c r="J140" s="33"/>
      <c r="K140" s="33"/>
      <c r="L140" s="33"/>
      <c r="M140" s="33"/>
      <c r="N140" s="30"/>
      <c r="O140" s="180"/>
      <c r="P140" s="139"/>
      <c r="Q140" s="139"/>
    </row>
    <row r="141" spans="1:17" x14ac:dyDescent="0.25">
      <c r="A141" s="32"/>
      <c r="B141" s="33"/>
      <c r="C141" s="33"/>
      <c r="D141" s="33"/>
      <c r="E141" s="33"/>
      <c r="F141" s="33"/>
      <c r="G141" s="33"/>
      <c r="H141" s="33"/>
      <c r="I141" s="33"/>
      <c r="J141" s="33"/>
      <c r="K141" s="33"/>
      <c r="L141" s="33"/>
      <c r="M141" s="33"/>
      <c r="N141" s="30"/>
      <c r="O141" s="180"/>
      <c r="P141" s="139"/>
      <c r="Q141" s="139"/>
    </row>
    <row r="142" spans="1:17" x14ac:dyDescent="0.25">
      <c r="A142" s="32"/>
      <c r="B142" s="33"/>
      <c r="C142" s="33"/>
      <c r="D142" s="33"/>
      <c r="E142" s="33"/>
      <c r="F142" s="33"/>
      <c r="G142" s="33"/>
      <c r="H142" s="33"/>
      <c r="I142" s="33"/>
      <c r="J142" s="33"/>
      <c r="K142" s="33"/>
      <c r="L142" s="33"/>
      <c r="M142" s="33"/>
      <c r="N142" s="30"/>
      <c r="O142" s="180"/>
      <c r="P142" s="139"/>
      <c r="Q142" s="139"/>
    </row>
    <row r="143" spans="1:17" x14ac:dyDescent="0.25">
      <c r="A143" s="32"/>
      <c r="B143" s="33"/>
      <c r="C143" s="33"/>
      <c r="D143" s="33"/>
      <c r="E143" s="33"/>
      <c r="F143" s="33"/>
      <c r="G143" s="33"/>
      <c r="H143" s="33"/>
      <c r="I143" s="33"/>
      <c r="J143" s="33"/>
      <c r="K143" s="33"/>
      <c r="L143" s="33"/>
      <c r="M143" s="33"/>
      <c r="N143" s="30"/>
      <c r="O143" s="180"/>
      <c r="P143" s="139"/>
      <c r="Q143" s="139"/>
    </row>
    <row r="144" spans="1:17" x14ac:dyDescent="0.25">
      <c r="A144" s="32"/>
      <c r="B144" s="33"/>
      <c r="C144" s="33"/>
      <c r="D144" s="33"/>
      <c r="E144" s="33"/>
      <c r="F144" s="33"/>
      <c r="G144" s="33"/>
      <c r="H144" s="33"/>
      <c r="I144" s="33"/>
      <c r="J144" s="33"/>
      <c r="K144" s="33"/>
      <c r="L144" s="33"/>
      <c r="M144" s="33"/>
      <c r="N144" s="30"/>
      <c r="O144" s="180"/>
      <c r="P144" s="139"/>
      <c r="Q144" s="139"/>
    </row>
    <row r="145" spans="1:17" x14ac:dyDescent="0.25">
      <c r="A145" s="32"/>
      <c r="B145" s="33"/>
      <c r="C145" s="33"/>
      <c r="D145" s="33"/>
      <c r="E145" s="33"/>
      <c r="F145" s="33"/>
      <c r="G145" s="33"/>
      <c r="H145" s="33"/>
      <c r="I145" s="33"/>
      <c r="J145" s="33"/>
      <c r="K145" s="33"/>
      <c r="L145" s="33"/>
      <c r="M145" s="33"/>
      <c r="N145" s="30"/>
      <c r="O145" s="180"/>
      <c r="P145" s="139"/>
      <c r="Q145" s="139"/>
    </row>
    <row r="146" spans="1:17" x14ac:dyDescent="0.25">
      <c r="A146" s="32"/>
      <c r="B146" s="33"/>
      <c r="C146" s="33"/>
      <c r="D146" s="33"/>
      <c r="E146" s="33"/>
      <c r="F146" s="33"/>
      <c r="G146" s="33"/>
      <c r="H146" s="33"/>
      <c r="I146" s="33"/>
      <c r="J146" s="33"/>
      <c r="K146" s="33"/>
      <c r="L146" s="33"/>
      <c r="M146" s="33"/>
      <c r="N146" s="30"/>
      <c r="O146" s="180"/>
      <c r="P146" s="139"/>
      <c r="Q146" s="139"/>
    </row>
    <row r="147" spans="1:17" x14ac:dyDescent="0.25">
      <c r="A147" s="32"/>
      <c r="B147" s="33"/>
      <c r="C147" s="33"/>
      <c r="D147" s="33"/>
      <c r="E147" s="33"/>
      <c r="F147" s="33"/>
      <c r="G147" s="33"/>
      <c r="H147" s="33"/>
      <c r="I147" s="33"/>
      <c r="J147" s="33"/>
      <c r="K147" s="33"/>
      <c r="L147" s="33"/>
      <c r="M147" s="33"/>
      <c r="N147" s="30"/>
      <c r="O147" s="180"/>
      <c r="P147" s="139"/>
      <c r="Q147" s="139"/>
    </row>
    <row r="148" spans="1:17" x14ac:dyDescent="0.25">
      <c r="A148" s="32"/>
      <c r="B148" s="33"/>
      <c r="C148" s="33"/>
      <c r="D148" s="33"/>
      <c r="E148" s="33"/>
      <c r="F148" s="33"/>
      <c r="G148" s="33"/>
      <c r="H148" s="33"/>
      <c r="I148" s="33"/>
      <c r="J148" s="33"/>
      <c r="K148" s="33"/>
      <c r="L148" s="33"/>
      <c r="M148" s="33"/>
      <c r="N148" s="30"/>
      <c r="O148" s="180"/>
      <c r="P148" s="139"/>
      <c r="Q148" s="139"/>
    </row>
    <row r="149" spans="1:17" x14ac:dyDescent="0.25">
      <c r="A149" s="32"/>
      <c r="B149" s="33"/>
      <c r="C149" s="33"/>
      <c r="D149" s="33"/>
      <c r="E149" s="33"/>
      <c r="F149" s="33"/>
      <c r="G149" s="33"/>
      <c r="H149" s="33"/>
      <c r="I149" s="33"/>
      <c r="J149" s="33"/>
      <c r="K149" s="33"/>
      <c r="L149" s="33"/>
      <c r="M149" s="33"/>
      <c r="N149" s="30"/>
      <c r="O149" s="180"/>
      <c r="P149" s="139"/>
      <c r="Q149" s="139"/>
    </row>
    <row r="150" spans="1:17" x14ac:dyDescent="0.25">
      <c r="A150" s="32"/>
      <c r="B150" s="33"/>
      <c r="C150" s="33"/>
      <c r="D150" s="33"/>
      <c r="E150" s="33"/>
      <c r="F150" s="33"/>
      <c r="G150" s="33"/>
      <c r="H150" s="33"/>
      <c r="I150" s="33"/>
      <c r="J150" s="33"/>
      <c r="K150" s="33"/>
      <c r="L150" s="33"/>
      <c r="M150" s="33"/>
      <c r="N150" s="30"/>
      <c r="O150" s="180"/>
      <c r="P150" s="139"/>
      <c r="Q150" s="139"/>
    </row>
    <row r="151" spans="1:17" x14ac:dyDescent="0.25">
      <c r="A151" s="32"/>
      <c r="B151" s="34"/>
      <c r="C151" s="34"/>
      <c r="D151" s="34"/>
      <c r="E151" s="34"/>
      <c r="F151" s="34"/>
      <c r="G151" s="34"/>
      <c r="H151" s="34"/>
      <c r="I151" s="34"/>
      <c r="J151" s="34"/>
      <c r="K151" s="34"/>
      <c r="L151" s="34"/>
      <c r="M151" s="34"/>
      <c r="N151" s="34"/>
      <c r="O151" s="180"/>
      <c r="P151" s="139"/>
      <c r="Q151" s="139"/>
    </row>
    <row r="152" spans="1:17" x14ac:dyDescent="0.25">
      <c r="A152" s="40"/>
      <c r="B152" s="155"/>
      <c r="C152" s="34"/>
      <c r="D152" s="35"/>
      <c r="E152" s="34"/>
      <c r="F152" s="34"/>
      <c r="G152" s="34"/>
      <c r="H152" s="34"/>
      <c r="I152" s="34"/>
      <c r="J152" s="34"/>
      <c r="K152" s="34"/>
      <c r="L152" s="34"/>
      <c r="M152" s="34"/>
      <c r="N152" s="34"/>
      <c r="O152" s="180"/>
      <c r="P152" s="4"/>
      <c r="Q152" s="139"/>
    </row>
    <row r="153" spans="1:17" x14ac:dyDescent="0.25">
      <c r="A153" s="32"/>
      <c r="B153" s="36"/>
      <c r="C153" s="36"/>
      <c r="D153" s="36"/>
      <c r="E153" s="36"/>
      <c r="F153" s="36"/>
      <c r="G153" s="36"/>
      <c r="H153" s="34"/>
      <c r="I153" s="34"/>
      <c r="J153" s="34"/>
      <c r="K153" s="34"/>
      <c r="L153" s="34"/>
      <c r="M153" s="34"/>
      <c r="N153" s="34"/>
      <c r="O153" s="180"/>
      <c r="P153" s="139"/>
      <c r="Q153" s="139"/>
    </row>
    <row r="154" spans="1:17" x14ac:dyDescent="0.25">
      <c r="A154" s="32"/>
      <c r="B154" s="156"/>
      <c r="C154" s="30"/>
      <c r="D154" s="30"/>
      <c r="E154" s="30"/>
      <c r="F154" s="30"/>
      <c r="G154" s="30"/>
      <c r="H154" s="34"/>
      <c r="I154" s="34"/>
      <c r="J154" s="34"/>
      <c r="K154" s="34"/>
      <c r="L154" s="34"/>
      <c r="M154" s="34"/>
      <c r="N154" s="34"/>
      <c r="O154" s="180"/>
      <c r="P154" s="139"/>
      <c r="Q154" s="139"/>
    </row>
    <row r="155" spans="1:17" x14ac:dyDescent="0.25">
      <c r="A155" s="40"/>
      <c r="B155" s="30"/>
      <c r="C155" s="157"/>
      <c r="D155" s="30"/>
      <c r="E155" s="30"/>
      <c r="F155" s="30"/>
      <c r="G155" s="30"/>
      <c r="H155" s="34"/>
      <c r="I155" s="34"/>
      <c r="J155" s="34"/>
      <c r="K155" s="34"/>
      <c r="L155" s="34"/>
      <c r="M155" s="34"/>
      <c r="N155" s="34"/>
      <c r="O155" s="180"/>
      <c r="P155" s="139"/>
      <c r="Q155" s="139"/>
    </row>
    <row r="156" spans="1:17" x14ac:dyDescent="0.25">
      <c r="A156" s="153"/>
      <c r="B156" s="30"/>
      <c r="C156" s="30"/>
      <c r="D156" s="30"/>
      <c r="E156" s="30"/>
      <c r="F156" s="30"/>
      <c r="G156" s="30"/>
      <c r="H156" s="34"/>
      <c r="I156" s="34"/>
      <c r="J156" s="34"/>
      <c r="K156" s="34"/>
      <c r="L156" s="34"/>
      <c r="M156" s="34"/>
      <c r="N156" s="34"/>
      <c r="O156" s="180"/>
      <c r="P156" s="139"/>
      <c r="Q156" s="139"/>
    </row>
    <row r="157" spans="1:17" x14ac:dyDescent="0.25">
      <c r="A157" s="153"/>
      <c r="B157" s="30"/>
      <c r="C157" s="30"/>
      <c r="D157" s="30"/>
      <c r="E157" s="30"/>
      <c r="F157" s="30"/>
      <c r="G157" s="30"/>
      <c r="H157" s="34"/>
      <c r="I157" s="34"/>
      <c r="J157" s="34"/>
      <c r="K157" s="34"/>
      <c r="L157" s="34"/>
      <c r="M157" s="34"/>
      <c r="N157" s="34"/>
      <c r="O157" s="180"/>
      <c r="P157" s="139"/>
      <c r="Q157" s="139"/>
    </row>
    <row r="158" spans="1:17" x14ac:dyDescent="0.25">
      <c r="A158" s="31"/>
      <c r="B158" s="30"/>
      <c r="C158" s="158"/>
      <c r="D158" s="158"/>
      <c r="E158" s="158"/>
      <c r="F158" s="158"/>
      <c r="G158" s="30"/>
      <c r="H158" s="34"/>
      <c r="I158" s="34"/>
      <c r="J158" s="34"/>
      <c r="K158" s="34"/>
      <c r="L158" s="34"/>
      <c r="M158" s="34"/>
      <c r="N158" s="34"/>
      <c r="O158" s="180"/>
      <c r="P158" s="139"/>
      <c r="Q158" s="139"/>
    </row>
    <row r="159" spans="1:17" x14ac:dyDescent="0.25">
      <c r="A159" s="31"/>
      <c r="B159" s="30"/>
      <c r="C159" s="30"/>
      <c r="D159" s="30"/>
      <c r="E159" s="30"/>
      <c r="F159" s="30"/>
      <c r="G159" s="30"/>
      <c r="H159" s="34"/>
      <c r="I159" s="34"/>
      <c r="J159" s="34"/>
      <c r="K159" s="34"/>
      <c r="L159" s="34"/>
      <c r="M159" s="34"/>
      <c r="N159" s="34"/>
      <c r="O159" s="180"/>
      <c r="P159" s="139"/>
      <c r="Q159" s="139"/>
    </row>
    <row r="160" spans="1:17" x14ac:dyDescent="0.25">
      <c r="A160" s="31"/>
      <c r="B160" s="30"/>
      <c r="C160" s="30"/>
      <c r="D160" s="30"/>
      <c r="E160" s="30"/>
      <c r="F160" s="30"/>
      <c r="G160" s="30"/>
      <c r="H160" s="34"/>
      <c r="I160" s="34"/>
      <c r="J160" s="34"/>
      <c r="K160" s="34"/>
      <c r="L160" s="34"/>
      <c r="M160" s="34"/>
      <c r="N160" s="34"/>
      <c r="O160" s="180"/>
      <c r="P160" s="139"/>
      <c r="Q160" s="139"/>
    </row>
    <row r="161" spans="1:17" x14ac:dyDescent="0.25">
      <c r="A161" s="31"/>
      <c r="B161" s="30"/>
      <c r="C161" s="30"/>
      <c r="D161" s="30"/>
      <c r="E161" s="30"/>
      <c r="F161" s="30"/>
      <c r="G161" s="30"/>
      <c r="H161" s="34"/>
      <c r="I161" s="34"/>
      <c r="J161" s="34"/>
      <c r="K161" s="34"/>
      <c r="L161" s="34"/>
      <c r="M161" s="34"/>
      <c r="N161" s="34"/>
      <c r="O161" s="180"/>
      <c r="P161" s="139"/>
      <c r="Q161" s="139"/>
    </row>
    <row r="162" spans="1:17" x14ac:dyDescent="0.25">
      <c r="A162" s="31"/>
      <c r="B162" s="30"/>
      <c r="C162" s="30"/>
      <c r="D162" s="30"/>
      <c r="E162" s="30"/>
      <c r="F162" s="30"/>
      <c r="G162" s="30"/>
      <c r="H162" s="34"/>
      <c r="I162" s="34"/>
      <c r="J162" s="34"/>
      <c r="K162" s="34"/>
      <c r="L162" s="34"/>
      <c r="M162" s="34"/>
      <c r="N162" s="34"/>
      <c r="O162" s="180"/>
      <c r="P162" s="139"/>
      <c r="Q162" s="139"/>
    </row>
    <row r="163" spans="1:17" x14ac:dyDescent="0.25">
      <c r="A163" s="31"/>
      <c r="B163" s="30"/>
      <c r="C163" s="30"/>
      <c r="D163" s="30"/>
      <c r="E163" s="30"/>
      <c r="F163" s="30"/>
      <c r="G163" s="30"/>
      <c r="H163" s="34"/>
      <c r="I163" s="34"/>
      <c r="J163" s="34"/>
      <c r="K163" s="34"/>
      <c r="L163" s="34"/>
      <c r="M163" s="34"/>
      <c r="N163" s="34"/>
      <c r="O163" s="180"/>
      <c r="P163" s="139"/>
      <c r="Q163" s="139"/>
    </row>
    <row r="164" spans="1:17" x14ac:dyDescent="0.25">
      <c r="A164" s="154"/>
      <c r="B164" s="30"/>
      <c r="C164" s="30"/>
      <c r="D164" s="30"/>
      <c r="E164" s="30"/>
      <c r="F164" s="30"/>
      <c r="G164" s="30"/>
      <c r="H164" s="34"/>
      <c r="I164" s="34"/>
      <c r="J164" s="34"/>
      <c r="K164" s="34"/>
      <c r="L164" s="34"/>
      <c r="M164" s="34"/>
      <c r="N164" s="34"/>
      <c r="O164" s="180"/>
      <c r="P164" s="139"/>
      <c r="Q164" s="139"/>
    </row>
    <row r="165" spans="1:17" x14ac:dyDescent="0.25">
      <c r="A165" s="34"/>
      <c r="B165" s="30"/>
      <c r="C165" s="30"/>
      <c r="D165" s="30"/>
      <c r="E165" s="30"/>
      <c r="F165" s="30"/>
      <c r="G165" s="30"/>
      <c r="H165" s="34"/>
      <c r="I165" s="34"/>
      <c r="J165" s="34"/>
      <c r="K165" s="34"/>
      <c r="L165" s="34"/>
      <c r="M165" s="34"/>
      <c r="N165" s="34"/>
      <c r="O165" s="180"/>
      <c r="P165" s="139"/>
      <c r="Q165" s="139"/>
    </row>
    <row r="166" spans="1:17" x14ac:dyDescent="0.25">
      <c r="A166" s="32"/>
      <c r="B166" s="30"/>
      <c r="C166" s="30"/>
      <c r="D166" s="30"/>
      <c r="E166" s="30"/>
      <c r="F166" s="30"/>
      <c r="G166" s="30"/>
      <c r="H166" s="34"/>
      <c r="I166" s="34"/>
      <c r="J166" s="34"/>
      <c r="K166" s="34"/>
      <c r="L166" s="34"/>
      <c r="M166" s="34"/>
      <c r="N166" s="34"/>
      <c r="O166" s="180"/>
      <c r="P166" s="139"/>
      <c r="Q166" s="139"/>
    </row>
    <row r="167" spans="1:17" x14ac:dyDescent="0.25">
      <c r="A167" s="32"/>
      <c r="B167" s="30"/>
      <c r="C167" s="30"/>
      <c r="D167" s="30"/>
      <c r="E167" s="30"/>
      <c r="F167" s="30"/>
      <c r="G167" s="30"/>
      <c r="H167" s="34"/>
      <c r="I167" s="34"/>
      <c r="J167" s="34"/>
      <c r="K167" s="34"/>
      <c r="L167" s="34"/>
      <c r="M167" s="34"/>
      <c r="N167" s="34"/>
      <c r="O167" s="180"/>
      <c r="P167" s="139"/>
      <c r="Q167" s="139"/>
    </row>
    <row r="168" spans="1:17" x14ac:dyDescent="0.25">
      <c r="A168" s="32"/>
      <c r="B168" s="30"/>
      <c r="C168" s="30"/>
      <c r="D168" s="30"/>
      <c r="E168" s="30"/>
      <c r="F168" s="30"/>
      <c r="G168" s="30"/>
      <c r="H168" s="34"/>
      <c r="I168" s="34"/>
      <c r="J168" s="34"/>
      <c r="K168" s="34"/>
      <c r="L168" s="34"/>
      <c r="M168" s="34"/>
      <c r="N168" s="34"/>
      <c r="O168" s="180"/>
      <c r="P168" s="139"/>
      <c r="Q168" s="139"/>
    </row>
    <row r="169" spans="1:17" x14ac:dyDescent="0.25">
      <c r="A169" s="32"/>
      <c r="B169" s="30"/>
      <c r="C169" s="30"/>
      <c r="D169" s="30"/>
      <c r="E169" s="30"/>
      <c r="F169" s="30"/>
      <c r="G169" s="30"/>
      <c r="H169" s="34"/>
      <c r="I169" s="34"/>
      <c r="J169" s="34"/>
      <c r="K169" s="34"/>
      <c r="L169" s="34"/>
      <c r="M169" s="34"/>
      <c r="N169" s="34"/>
      <c r="O169" s="180"/>
      <c r="P169" s="139"/>
      <c r="Q169" s="139"/>
    </row>
    <row r="170" spans="1:17" x14ac:dyDescent="0.25">
      <c r="A170" s="32"/>
      <c r="B170" s="30"/>
      <c r="C170" s="30"/>
      <c r="D170" s="30"/>
      <c r="E170" s="30"/>
      <c r="F170" s="30"/>
      <c r="G170" s="30"/>
      <c r="H170" s="34"/>
      <c r="I170" s="34"/>
      <c r="J170" s="34"/>
      <c r="K170" s="34"/>
      <c r="L170" s="34"/>
      <c r="M170" s="34"/>
      <c r="N170" s="34"/>
      <c r="O170" s="180"/>
      <c r="P170" s="139"/>
      <c r="Q170" s="139"/>
    </row>
    <row r="171" spans="1:17" x14ac:dyDescent="0.25">
      <c r="A171" s="32"/>
      <c r="B171" s="30"/>
      <c r="C171" s="30"/>
      <c r="D171" s="30"/>
      <c r="E171" s="30"/>
      <c r="F171" s="30"/>
      <c r="G171" s="30"/>
      <c r="H171" s="34"/>
      <c r="I171" s="34"/>
      <c r="J171" s="34"/>
      <c r="K171" s="34"/>
      <c r="L171" s="34"/>
      <c r="M171" s="34"/>
      <c r="N171" s="34"/>
      <c r="O171" s="180"/>
      <c r="P171" s="139"/>
      <c r="Q171" s="139"/>
    </row>
    <row r="172" spans="1:17" x14ac:dyDescent="0.25">
      <c r="A172" s="32"/>
      <c r="B172" s="30"/>
      <c r="C172" s="30"/>
      <c r="D172" s="30"/>
      <c r="E172" s="30"/>
      <c r="F172" s="30"/>
      <c r="G172" s="30"/>
      <c r="H172" s="34"/>
      <c r="I172" s="34"/>
      <c r="J172" s="34"/>
      <c r="K172" s="34"/>
      <c r="L172" s="34"/>
      <c r="M172" s="34"/>
      <c r="N172" s="34"/>
      <c r="O172" s="180"/>
      <c r="P172" s="139"/>
      <c r="Q172" s="139"/>
    </row>
    <row r="173" spans="1:17" x14ac:dyDescent="0.25">
      <c r="A173" s="32"/>
      <c r="B173" s="139"/>
      <c r="C173" s="30"/>
      <c r="D173" s="30"/>
      <c r="E173" s="30"/>
      <c r="F173" s="30"/>
      <c r="G173" s="30"/>
      <c r="H173" s="34"/>
      <c r="I173" s="34"/>
      <c r="J173" s="34"/>
      <c r="K173" s="34"/>
      <c r="L173" s="34"/>
      <c r="M173" s="34"/>
      <c r="N173" s="34"/>
      <c r="O173" s="180"/>
      <c r="P173" s="139"/>
      <c r="Q173" s="139"/>
    </row>
    <row r="174" spans="1:17" x14ac:dyDescent="0.25">
      <c r="A174" s="32"/>
      <c r="B174" s="30"/>
      <c r="C174" s="30"/>
      <c r="D174" s="30"/>
      <c r="E174" s="30"/>
      <c r="F174" s="30"/>
      <c r="G174" s="30"/>
      <c r="H174" s="34"/>
      <c r="I174" s="34"/>
      <c r="J174" s="34"/>
      <c r="K174" s="34"/>
      <c r="L174" s="34"/>
      <c r="M174" s="34"/>
      <c r="N174" s="34"/>
      <c r="O174" s="180"/>
      <c r="P174" s="139"/>
      <c r="Q174" s="139"/>
    </row>
    <row r="175" spans="1:17" x14ac:dyDescent="0.25">
      <c r="A175" s="32"/>
      <c r="B175" s="30"/>
      <c r="C175" s="30"/>
      <c r="D175" s="30"/>
      <c r="E175" s="30"/>
      <c r="F175" s="30"/>
      <c r="G175" s="30"/>
      <c r="H175" s="34"/>
      <c r="I175" s="34"/>
      <c r="J175" s="34"/>
      <c r="K175" s="34"/>
      <c r="L175" s="34"/>
      <c r="M175" s="34"/>
      <c r="N175" s="34"/>
      <c r="O175" s="180"/>
      <c r="P175" s="139"/>
      <c r="Q175" s="139"/>
    </row>
    <row r="176" spans="1:17" x14ac:dyDescent="0.25">
      <c r="A176" s="32"/>
      <c r="B176" s="30"/>
      <c r="C176" s="30"/>
      <c r="D176" s="30"/>
      <c r="E176" s="30"/>
      <c r="F176" s="30"/>
      <c r="G176" s="30"/>
      <c r="H176" s="34"/>
      <c r="I176" s="34"/>
      <c r="J176" s="34"/>
      <c r="K176" s="34"/>
      <c r="L176" s="34"/>
      <c r="M176" s="34"/>
      <c r="N176" s="34"/>
      <c r="O176" s="180"/>
      <c r="P176" s="139"/>
      <c r="Q176" s="139"/>
    </row>
    <row r="177" spans="1:17" x14ac:dyDescent="0.25">
      <c r="A177" s="32"/>
      <c r="B177" s="30"/>
      <c r="C177" s="30"/>
      <c r="D177" s="30"/>
      <c r="E177" s="30"/>
      <c r="F177" s="30"/>
      <c r="G177" s="30"/>
      <c r="H177" s="34"/>
      <c r="I177" s="34"/>
      <c r="J177" s="34"/>
      <c r="K177" s="34"/>
      <c r="L177" s="34"/>
      <c r="M177" s="34"/>
      <c r="N177" s="34"/>
      <c r="O177" s="180"/>
      <c r="P177" s="139"/>
      <c r="Q177" s="139"/>
    </row>
    <row r="178" spans="1:17" x14ac:dyDescent="0.25">
      <c r="A178" s="32"/>
      <c r="B178" s="30"/>
      <c r="C178" s="30"/>
      <c r="D178" s="30"/>
      <c r="E178" s="30"/>
      <c r="F178" s="30"/>
      <c r="G178" s="30"/>
      <c r="H178" s="34"/>
      <c r="I178" s="34"/>
      <c r="J178" s="34"/>
      <c r="K178" s="34"/>
      <c r="L178" s="34"/>
      <c r="M178" s="34"/>
      <c r="N178" s="34"/>
      <c r="O178" s="180"/>
      <c r="P178" s="139"/>
      <c r="Q178" s="139"/>
    </row>
    <row r="179" spans="1:17" x14ac:dyDescent="0.25">
      <c r="A179" s="32"/>
      <c r="B179" s="30"/>
      <c r="C179" s="30"/>
      <c r="D179" s="30"/>
      <c r="E179" s="30"/>
      <c r="F179" s="30"/>
      <c r="G179" s="30"/>
      <c r="H179" s="34"/>
      <c r="I179" s="34"/>
      <c r="J179" s="34"/>
      <c r="K179" s="34"/>
      <c r="L179" s="34"/>
      <c r="M179" s="34"/>
      <c r="N179" s="34"/>
      <c r="O179" s="180"/>
      <c r="P179" s="139"/>
      <c r="Q179" s="139"/>
    </row>
    <row r="180" spans="1:17" x14ac:dyDescent="0.25">
      <c r="A180" s="32"/>
      <c r="B180" s="30"/>
      <c r="C180" s="30"/>
      <c r="D180" s="30"/>
      <c r="E180" s="30"/>
      <c r="F180" s="30"/>
      <c r="G180" s="30"/>
      <c r="H180" s="34"/>
      <c r="I180" s="34"/>
      <c r="J180" s="34"/>
      <c r="K180" s="34"/>
      <c r="L180" s="34"/>
      <c r="M180" s="34"/>
      <c r="N180" s="34"/>
      <c r="O180" s="180"/>
      <c r="P180" s="139"/>
      <c r="Q180" s="139"/>
    </row>
    <row r="181" spans="1:17" x14ac:dyDescent="0.25">
      <c r="A181" s="32"/>
      <c r="B181" s="30"/>
      <c r="C181" s="30"/>
      <c r="D181" s="30"/>
      <c r="E181" s="30"/>
      <c r="F181" s="30"/>
      <c r="G181" s="30"/>
      <c r="H181" s="34"/>
      <c r="I181" s="34"/>
      <c r="J181" s="34"/>
      <c r="K181" s="34"/>
      <c r="L181" s="34"/>
      <c r="M181" s="34"/>
      <c r="N181" s="34"/>
      <c r="O181" s="180"/>
      <c r="P181" s="139"/>
      <c r="Q181" s="139"/>
    </row>
    <row r="182" spans="1:17" x14ac:dyDescent="0.25">
      <c r="A182" s="32"/>
      <c r="B182" s="30"/>
      <c r="C182" s="30"/>
      <c r="D182" s="30"/>
      <c r="E182" s="30"/>
      <c r="F182" s="30"/>
      <c r="G182" s="30"/>
      <c r="H182" s="34"/>
      <c r="I182" s="34"/>
      <c r="J182" s="34"/>
      <c r="K182" s="34"/>
      <c r="L182" s="34"/>
      <c r="M182" s="34"/>
      <c r="N182" s="34"/>
      <c r="O182" s="180"/>
      <c r="P182" s="139"/>
      <c r="Q182" s="139"/>
    </row>
    <row r="183" spans="1:17" x14ac:dyDescent="0.25">
      <c r="A183" s="32"/>
      <c r="B183" s="30"/>
      <c r="C183" s="30"/>
      <c r="D183" s="30"/>
      <c r="E183" s="30"/>
      <c r="F183" s="30"/>
      <c r="G183" s="30"/>
      <c r="H183" s="34"/>
      <c r="I183" s="34"/>
      <c r="J183" s="34"/>
      <c r="K183" s="34"/>
      <c r="L183" s="34"/>
      <c r="M183" s="34"/>
      <c r="N183" s="34"/>
      <c r="O183" s="180"/>
      <c r="P183" s="139"/>
      <c r="Q183" s="139"/>
    </row>
    <row r="184" spans="1:17" x14ac:dyDescent="0.25">
      <c r="A184" s="32"/>
      <c r="B184" s="30"/>
      <c r="C184" s="30"/>
      <c r="D184" s="30"/>
      <c r="E184" s="30"/>
      <c r="F184" s="30"/>
      <c r="G184" s="30"/>
      <c r="H184" s="34"/>
      <c r="I184" s="34"/>
      <c r="J184" s="34"/>
      <c r="K184" s="34"/>
      <c r="L184" s="34"/>
      <c r="M184" s="34"/>
      <c r="N184" s="34"/>
      <c r="O184" s="180"/>
      <c r="P184" s="139"/>
      <c r="Q184" s="139"/>
    </row>
    <row r="185" spans="1:17" x14ac:dyDescent="0.25">
      <c r="A185" s="32"/>
      <c r="B185" s="30"/>
      <c r="C185" s="30"/>
      <c r="D185" s="30"/>
      <c r="E185" s="30"/>
      <c r="F185" s="30"/>
      <c r="G185" s="30"/>
      <c r="H185" s="34"/>
      <c r="I185" s="34"/>
      <c r="J185" s="34"/>
      <c r="K185" s="34"/>
      <c r="L185" s="34"/>
      <c r="M185" s="34"/>
      <c r="N185" s="34"/>
      <c r="O185" s="180"/>
      <c r="P185" s="139"/>
      <c r="Q185" s="139"/>
    </row>
    <row r="186" spans="1:17" x14ac:dyDescent="0.25">
      <c r="A186" s="32"/>
      <c r="B186" s="30"/>
      <c r="C186" s="30"/>
      <c r="D186" s="30"/>
      <c r="E186" s="30"/>
      <c r="F186" s="30"/>
      <c r="G186" s="30"/>
      <c r="H186" s="34"/>
      <c r="I186" s="34"/>
      <c r="J186" s="34"/>
      <c r="K186" s="34"/>
      <c r="L186" s="34"/>
      <c r="M186" s="34"/>
      <c r="N186" s="34"/>
      <c r="O186" s="180"/>
      <c r="P186" s="139"/>
      <c r="Q186" s="139"/>
    </row>
    <row r="187" spans="1:17" x14ac:dyDescent="0.25">
      <c r="A187" s="32"/>
      <c r="B187" s="30"/>
      <c r="C187" s="30"/>
      <c r="D187" s="30"/>
      <c r="E187" s="30"/>
      <c r="F187" s="30"/>
      <c r="G187" s="30"/>
      <c r="H187" s="34"/>
      <c r="I187" s="34"/>
      <c r="J187" s="34"/>
      <c r="K187" s="34"/>
      <c r="L187" s="34"/>
      <c r="M187" s="34"/>
      <c r="N187" s="34"/>
      <c r="O187" s="180"/>
      <c r="P187" s="139"/>
      <c r="Q187" s="139"/>
    </row>
    <row r="188" spans="1:17" x14ac:dyDescent="0.25">
      <c r="A188" s="32"/>
      <c r="B188" s="30"/>
      <c r="C188" s="30"/>
      <c r="D188" s="30"/>
      <c r="E188" s="30"/>
      <c r="F188" s="30"/>
      <c r="G188" s="30"/>
      <c r="H188" s="34"/>
      <c r="I188" s="34"/>
      <c r="J188" s="34"/>
      <c r="K188" s="34"/>
      <c r="L188" s="34"/>
      <c r="M188" s="34"/>
      <c r="N188" s="34"/>
      <c r="O188" s="180"/>
      <c r="P188" s="139"/>
      <c r="Q188" s="139"/>
    </row>
    <row r="189" spans="1:17" x14ac:dyDescent="0.25">
      <c r="A189" s="32"/>
      <c r="B189" s="30"/>
      <c r="C189" s="30"/>
      <c r="D189" s="30"/>
      <c r="E189" s="30"/>
      <c r="F189" s="30"/>
      <c r="G189" s="30"/>
      <c r="H189" s="34"/>
      <c r="I189" s="34"/>
      <c r="J189" s="34"/>
      <c r="K189" s="34"/>
      <c r="L189" s="34"/>
      <c r="M189" s="34"/>
      <c r="N189" s="34"/>
      <c r="O189" s="180"/>
      <c r="P189" s="139"/>
      <c r="Q189" s="139"/>
    </row>
    <row r="190" spans="1:17" x14ac:dyDescent="0.25">
      <c r="A190" s="40"/>
      <c r="B190" s="32"/>
      <c r="C190" s="32"/>
      <c r="D190" s="32"/>
      <c r="E190" s="32"/>
      <c r="F190" s="32"/>
      <c r="G190" s="32"/>
      <c r="H190" s="39"/>
      <c r="I190" s="39"/>
      <c r="J190" s="39"/>
      <c r="K190" s="39"/>
      <c r="L190" s="39"/>
      <c r="M190" s="39"/>
      <c r="N190" s="39"/>
      <c r="O190" s="139"/>
      <c r="P190" s="4"/>
      <c r="Q190" s="139"/>
    </row>
    <row r="191" spans="1:17" x14ac:dyDescent="0.25">
      <c r="A191" s="40"/>
      <c r="B191" s="32"/>
      <c r="C191" s="32"/>
      <c r="D191" s="32"/>
      <c r="E191" s="32"/>
      <c r="F191" s="32"/>
      <c r="G191" s="32"/>
      <c r="H191" s="39"/>
      <c r="I191" s="39"/>
      <c r="J191" s="39"/>
      <c r="K191" s="39"/>
      <c r="L191" s="39"/>
      <c r="M191" s="39"/>
      <c r="N191" s="39"/>
      <c r="O191" s="139"/>
      <c r="P191" s="139"/>
      <c r="Q191" s="139"/>
    </row>
    <row r="192" spans="1:17" x14ac:dyDescent="0.25">
      <c r="A192" s="159"/>
      <c r="B192" s="38"/>
      <c r="C192" s="38"/>
      <c r="D192" s="32"/>
      <c r="E192" s="40"/>
      <c r="F192" s="38"/>
      <c r="G192" s="38"/>
      <c r="H192" s="39"/>
      <c r="I192" s="39"/>
      <c r="J192" s="39"/>
      <c r="K192" s="39"/>
      <c r="L192" s="39"/>
      <c r="M192" s="39"/>
      <c r="N192" s="39"/>
      <c r="O192" s="139"/>
      <c r="P192" s="139"/>
      <c r="Q192" s="139"/>
    </row>
    <row r="193" spans="1:17" x14ac:dyDescent="0.25">
      <c r="A193" s="160"/>
      <c r="B193" s="38"/>
      <c r="C193" s="161"/>
      <c r="D193" s="32"/>
      <c r="E193" s="32"/>
      <c r="F193" s="38"/>
      <c r="G193" s="38"/>
      <c r="H193" s="39"/>
      <c r="I193" s="161"/>
      <c r="J193" s="39"/>
      <c r="K193" s="39"/>
      <c r="L193" s="39"/>
      <c r="M193" s="39"/>
      <c r="N193" s="39"/>
      <c r="O193" s="139"/>
      <c r="P193" s="139"/>
      <c r="Q193" s="139"/>
    </row>
    <row r="194" spans="1:17" x14ac:dyDescent="0.25">
      <c r="A194" s="160"/>
      <c r="B194" s="38"/>
      <c r="C194" s="161"/>
      <c r="D194" s="32"/>
      <c r="E194" s="32"/>
      <c r="F194" s="38"/>
      <c r="G194" s="38"/>
      <c r="H194" s="39"/>
      <c r="I194" s="161"/>
      <c r="J194" s="39"/>
      <c r="K194" s="39"/>
      <c r="L194" s="39"/>
      <c r="M194" s="39"/>
      <c r="N194" s="39"/>
      <c r="O194" s="139"/>
      <c r="P194" s="139"/>
      <c r="Q194" s="139"/>
    </row>
    <row r="195" spans="1:17" x14ac:dyDescent="0.25">
      <c r="A195" s="160"/>
      <c r="B195" s="38"/>
      <c r="C195" s="161"/>
      <c r="D195" s="32"/>
      <c r="E195" s="32"/>
      <c r="F195" s="38"/>
      <c r="G195" s="38"/>
      <c r="H195" s="39"/>
      <c r="I195" s="162"/>
      <c r="J195" s="39"/>
      <c r="K195" s="39"/>
      <c r="L195" s="39"/>
      <c r="M195" s="39"/>
      <c r="N195" s="39"/>
      <c r="O195" s="139"/>
      <c r="P195" s="139"/>
      <c r="Q195" s="139"/>
    </row>
    <row r="196" spans="1:17" x14ac:dyDescent="0.25">
      <c r="A196" s="160"/>
      <c r="B196" s="38"/>
      <c r="C196" s="161"/>
      <c r="D196" s="32"/>
      <c r="E196" s="32"/>
      <c r="F196" s="38"/>
      <c r="G196" s="38"/>
      <c r="H196" s="39"/>
      <c r="I196" s="161"/>
      <c r="J196" s="39"/>
      <c r="K196" s="39"/>
      <c r="L196" s="39"/>
      <c r="M196" s="39"/>
      <c r="N196" s="39"/>
      <c r="O196" s="139"/>
      <c r="P196" s="139"/>
      <c r="Q196" s="139"/>
    </row>
    <row r="197" spans="1:17" x14ac:dyDescent="0.25">
      <c r="A197" s="160"/>
      <c r="B197" s="38"/>
      <c r="C197" s="161"/>
      <c r="D197" s="32"/>
      <c r="E197" s="32"/>
      <c r="F197" s="38"/>
      <c r="G197" s="38"/>
      <c r="H197" s="39"/>
      <c r="I197" s="162"/>
      <c r="J197" s="39"/>
      <c r="K197" s="39"/>
      <c r="L197" s="39"/>
      <c r="M197" s="39"/>
      <c r="N197" s="39"/>
      <c r="O197" s="139"/>
      <c r="P197" s="139"/>
      <c r="Q197" s="139"/>
    </row>
    <row r="198" spans="1:17" x14ac:dyDescent="0.25">
      <c r="A198" s="160"/>
      <c r="B198" s="38"/>
      <c r="C198" s="161"/>
      <c r="D198" s="32"/>
      <c r="E198" s="32"/>
      <c r="F198" s="38"/>
      <c r="G198" s="38"/>
      <c r="H198" s="39"/>
      <c r="I198" s="162"/>
      <c r="J198" s="39"/>
      <c r="K198" s="39"/>
      <c r="L198" s="39"/>
      <c r="M198" s="39"/>
      <c r="N198" s="39"/>
      <c r="O198" s="139"/>
      <c r="P198" s="139"/>
      <c r="Q198" s="139"/>
    </row>
    <row r="199" spans="1:17" x14ac:dyDescent="0.25">
      <c r="A199" s="160"/>
      <c r="B199" s="38"/>
      <c r="C199" s="161"/>
      <c r="D199" s="32"/>
      <c r="E199" s="160"/>
      <c r="F199" s="38"/>
      <c r="G199" s="38"/>
      <c r="H199" s="39"/>
      <c r="I199" s="161"/>
      <c r="J199" s="39"/>
      <c r="K199" s="39"/>
      <c r="L199" s="39"/>
      <c r="M199" s="39"/>
      <c r="N199" s="39"/>
      <c r="O199" s="139"/>
      <c r="P199" s="139"/>
      <c r="Q199" s="139"/>
    </row>
    <row r="200" spans="1:17" x14ac:dyDescent="0.25">
      <c r="A200" s="160"/>
      <c r="B200" s="38"/>
      <c r="C200" s="161"/>
      <c r="D200" s="32"/>
      <c r="E200" s="160"/>
      <c r="F200" s="151"/>
      <c r="G200" s="151"/>
      <c r="H200" s="39"/>
      <c r="I200" s="161"/>
      <c r="J200" s="39"/>
      <c r="K200" s="39"/>
      <c r="L200" s="39"/>
      <c r="M200" s="39"/>
      <c r="N200" s="39"/>
      <c r="O200" s="139"/>
      <c r="P200" s="139"/>
      <c r="Q200" s="139"/>
    </row>
    <row r="201" spans="1:17" x14ac:dyDescent="0.25">
      <c r="A201" s="40"/>
      <c r="B201" s="41"/>
      <c r="C201" s="163"/>
      <c r="D201" s="40"/>
      <c r="E201" s="40"/>
      <c r="F201" s="41"/>
      <c r="G201" s="41"/>
      <c r="H201" s="39"/>
      <c r="I201" s="164"/>
      <c r="J201" s="39"/>
      <c r="K201" s="39"/>
      <c r="L201" s="39"/>
      <c r="M201" s="39"/>
      <c r="N201" s="39"/>
      <c r="O201" s="139"/>
      <c r="P201" s="139"/>
      <c r="Q201" s="139"/>
    </row>
    <row r="202" spans="1:17" x14ac:dyDescent="0.25">
      <c r="A202" s="40"/>
      <c r="B202" s="41"/>
      <c r="C202" s="41"/>
      <c r="D202" s="40"/>
      <c r="E202" s="40"/>
      <c r="F202" s="41"/>
      <c r="G202" s="41"/>
      <c r="H202" s="39"/>
      <c r="I202" s="41"/>
      <c r="J202" s="39"/>
      <c r="K202" s="39"/>
      <c r="L202" s="39"/>
      <c r="M202" s="39"/>
      <c r="N202" s="39"/>
      <c r="O202" s="139"/>
      <c r="P202" s="139"/>
      <c r="Q202" s="139"/>
    </row>
    <row r="203" spans="1:17" x14ac:dyDescent="0.25">
      <c r="A203" s="160"/>
      <c r="B203" s="38"/>
      <c r="C203" s="161"/>
      <c r="D203" s="32"/>
      <c r="E203" s="32"/>
      <c r="F203" s="38"/>
      <c r="G203" s="38"/>
      <c r="H203" s="39"/>
      <c r="I203" s="39"/>
      <c r="J203" s="39"/>
      <c r="K203" s="39"/>
      <c r="L203" s="39"/>
      <c r="M203" s="39"/>
      <c r="N203" s="39"/>
      <c r="O203" s="139"/>
      <c r="P203" s="139"/>
      <c r="Q203" s="139"/>
    </row>
    <row r="204" spans="1:17" x14ac:dyDescent="0.25">
      <c r="A204" s="160"/>
      <c r="B204" s="38"/>
      <c r="C204" s="161"/>
      <c r="D204" s="32"/>
      <c r="E204" s="32"/>
      <c r="F204" s="38"/>
      <c r="G204" s="38"/>
      <c r="H204" s="39"/>
      <c r="I204" s="39"/>
      <c r="J204" s="39"/>
      <c r="K204" s="39"/>
      <c r="L204" s="39"/>
      <c r="M204" s="39"/>
      <c r="N204" s="39"/>
      <c r="O204" s="139"/>
      <c r="P204" s="139"/>
      <c r="Q204" s="139"/>
    </row>
    <row r="205" spans="1:17" x14ac:dyDescent="0.25">
      <c r="A205" s="160"/>
      <c r="B205" s="38"/>
      <c r="C205" s="161"/>
      <c r="D205" s="32"/>
      <c r="E205" s="32"/>
      <c r="F205" s="38"/>
      <c r="G205" s="38"/>
      <c r="H205" s="39"/>
      <c r="I205" s="162"/>
      <c r="J205" s="39"/>
      <c r="K205" s="39"/>
      <c r="L205" s="39"/>
      <c r="M205" s="39"/>
      <c r="N205" s="39"/>
      <c r="O205" s="139"/>
      <c r="P205" s="139"/>
      <c r="Q205" s="139"/>
    </row>
    <row r="206" spans="1:17" x14ac:dyDescent="0.25">
      <c r="A206" s="32"/>
      <c r="B206" s="38"/>
      <c r="C206" s="161"/>
      <c r="D206" s="32"/>
      <c r="E206" s="32"/>
      <c r="F206" s="38"/>
      <c r="G206" s="38"/>
      <c r="H206" s="39"/>
      <c r="I206" s="162"/>
      <c r="J206" s="39"/>
      <c r="K206" s="39"/>
      <c r="L206" s="39"/>
      <c r="M206" s="39"/>
      <c r="N206" s="39"/>
      <c r="O206" s="139"/>
      <c r="P206" s="139"/>
      <c r="Q206" s="139"/>
    </row>
    <row r="207" spans="1:17" x14ac:dyDescent="0.25">
      <c r="A207" s="32"/>
      <c r="B207" s="38"/>
      <c r="C207" s="161"/>
      <c r="D207" s="32"/>
      <c r="E207" s="32"/>
      <c r="F207" s="38"/>
      <c r="G207" s="38"/>
      <c r="H207" s="39"/>
      <c r="I207" s="165"/>
      <c r="J207" s="39"/>
      <c r="K207" s="39"/>
      <c r="L207" s="39"/>
      <c r="M207" s="39"/>
      <c r="N207" s="39"/>
      <c r="O207" s="139"/>
      <c r="P207" s="139"/>
      <c r="Q207" s="139"/>
    </row>
    <row r="208" spans="1:17" x14ac:dyDescent="0.25">
      <c r="A208" s="160"/>
      <c r="B208" s="38"/>
      <c r="C208" s="161"/>
      <c r="D208" s="32"/>
      <c r="E208" s="32"/>
      <c r="F208" s="38"/>
      <c r="G208" s="38"/>
      <c r="H208" s="39"/>
      <c r="I208" s="162"/>
      <c r="J208" s="39"/>
      <c r="K208" s="39"/>
      <c r="L208" s="39"/>
      <c r="M208" s="39"/>
      <c r="N208" s="39"/>
      <c r="O208" s="139"/>
      <c r="P208" s="139"/>
      <c r="Q208" s="139"/>
    </row>
    <row r="209" spans="1:17" x14ac:dyDescent="0.25">
      <c r="A209" s="160"/>
      <c r="B209" s="38"/>
      <c r="C209" s="161"/>
      <c r="D209" s="32"/>
      <c r="E209" s="32"/>
      <c r="F209" s="38"/>
      <c r="G209" s="38"/>
      <c r="H209" s="39"/>
      <c r="I209" s="162"/>
      <c r="J209" s="39"/>
      <c r="K209" s="39"/>
      <c r="L209" s="39"/>
      <c r="M209" s="39"/>
      <c r="N209" s="39"/>
      <c r="O209" s="139"/>
      <c r="P209" s="139"/>
      <c r="Q209" s="139"/>
    </row>
    <row r="210" spans="1:17" x14ac:dyDescent="0.25">
      <c r="A210" s="32"/>
      <c r="B210" s="38"/>
      <c r="C210" s="161"/>
      <c r="D210" s="32"/>
      <c r="E210" s="40"/>
      <c r="F210" s="41"/>
      <c r="G210" s="41"/>
      <c r="H210" s="39"/>
      <c r="I210" s="166"/>
      <c r="J210" s="39"/>
      <c r="K210" s="39"/>
      <c r="L210" s="39"/>
      <c r="M210" s="39"/>
      <c r="N210" s="39"/>
      <c r="O210" s="139"/>
      <c r="P210" s="139"/>
      <c r="Q210" s="139"/>
    </row>
    <row r="211" spans="1:17" x14ac:dyDescent="0.25">
      <c r="A211" s="40"/>
      <c r="B211" s="38"/>
      <c r="C211" s="163"/>
      <c r="D211" s="32"/>
      <c r="E211" s="32"/>
      <c r="F211" s="38"/>
      <c r="G211" s="38"/>
      <c r="H211" s="39"/>
      <c r="I211" s="162"/>
      <c r="J211" s="39"/>
      <c r="K211" s="39"/>
      <c r="L211" s="39"/>
      <c r="M211" s="39"/>
      <c r="N211" s="39"/>
      <c r="O211" s="139"/>
      <c r="P211" s="139"/>
      <c r="Q211" s="139"/>
    </row>
    <row r="212" spans="1:17" x14ac:dyDescent="0.25">
      <c r="A212" s="40"/>
      <c r="B212" s="41"/>
      <c r="C212" s="163"/>
      <c r="D212" s="32"/>
      <c r="E212" s="40"/>
      <c r="F212" s="41"/>
      <c r="G212" s="41"/>
      <c r="H212" s="39"/>
      <c r="I212" s="163"/>
      <c r="J212" s="39"/>
      <c r="K212" s="39"/>
      <c r="L212" s="39"/>
      <c r="M212" s="39"/>
      <c r="N212" s="39"/>
      <c r="O212" s="139"/>
      <c r="P212" s="139"/>
      <c r="Q212" s="139"/>
    </row>
    <row r="213" spans="1:17" x14ac:dyDescent="0.25">
      <c r="A213" s="32"/>
      <c r="B213" s="38"/>
      <c r="C213" s="161"/>
      <c r="D213" s="32"/>
      <c r="E213" s="39"/>
      <c r="F213" s="167"/>
      <c r="G213" s="167"/>
      <c r="H213" s="39"/>
      <c r="I213" s="39"/>
      <c r="J213" s="39"/>
      <c r="K213" s="39"/>
      <c r="L213" s="39"/>
      <c r="M213" s="39"/>
      <c r="N213" s="39"/>
      <c r="O213" s="139"/>
      <c r="P213" s="139"/>
      <c r="Q213" s="139"/>
    </row>
    <row r="214" spans="1:17" x14ac:dyDescent="0.25">
      <c r="A214" s="40"/>
      <c r="B214" s="41"/>
      <c r="C214" s="163"/>
      <c r="D214" s="32"/>
      <c r="E214" s="40"/>
      <c r="F214" s="41"/>
      <c r="G214" s="38"/>
      <c r="H214" s="39"/>
      <c r="I214" s="41"/>
      <c r="J214" s="39"/>
      <c r="K214" s="39"/>
      <c r="L214" s="39"/>
      <c r="M214" s="39"/>
      <c r="N214" s="39"/>
      <c r="O214" s="139"/>
      <c r="P214" s="139"/>
      <c r="Q214" s="139"/>
    </row>
    <row r="215" spans="1:17" x14ac:dyDescent="0.25">
      <c r="A215" s="40"/>
      <c r="B215" s="41"/>
      <c r="C215" s="41"/>
      <c r="D215" s="32"/>
      <c r="E215" s="146"/>
      <c r="F215" s="41"/>
      <c r="G215" s="168"/>
      <c r="H215" s="169"/>
      <c r="I215" s="39"/>
      <c r="J215" s="39"/>
      <c r="K215" s="39"/>
      <c r="L215" s="39"/>
      <c r="M215" s="39"/>
      <c r="N215" s="39"/>
      <c r="O215" s="139"/>
      <c r="P215" s="139"/>
      <c r="Q215" s="139"/>
    </row>
    <row r="216" spans="1:17" x14ac:dyDescent="0.25">
      <c r="A216" s="32"/>
      <c r="B216" s="41"/>
      <c r="C216" s="41"/>
      <c r="D216" s="32"/>
      <c r="E216" s="170"/>
      <c r="F216" s="41"/>
      <c r="G216" s="38"/>
      <c r="H216" s="39"/>
      <c r="I216" s="39"/>
      <c r="J216" s="39"/>
      <c r="K216" s="39"/>
      <c r="L216" s="162"/>
      <c r="M216" s="39"/>
      <c r="N216" s="39"/>
      <c r="O216" s="139"/>
      <c r="P216" s="139"/>
      <c r="Q216" s="139"/>
    </row>
    <row r="217" spans="1:17" x14ac:dyDescent="0.25">
      <c r="A217" s="32"/>
      <c r="B217" s="41"/>
      <c r="C217" s="41"/>
      <c r="D217" s="32"/>
      <c r="E217" s="170"/>
      <c r="F217" s="41"/>
      <c r="G217" s="38"/>
      <c r="H217" s="39"/>
      <c r="I217" s="39"/>
      <c r="J217" s="39"/>
      <c r="K217" s="39"/>
      <c r="L217" s="162"/>
      <c r="M217" s="39"/>
      <c r="N217" s="39"/>
      <c r="O217" s="139"/>
      <c r="P217" s="139"/>
      <c r="Q217" s="139"/>
    </row>
    <row r="218" spans="1:17" x14ac:dyDescent="0.25">
      <c r="A218" s="32"/>
      <c r="B218" s="41"/>
      <c r="C218" s="41"/>
      <c r="D218" s="32"/>
      <c r="E218" s="170"/>
      <c r="F218" s="41"/>
      <c r="G218" s="38"/>
      <c r="H218" s="39"/>
      <c r="I218" s="39"/>
      <c r="J218" s="39"/>
      <c r="K218" s="39"/>
      <c r="L218" s="162"/>
      <c r="M218" s="39"/>
      <c r="N218" s="39"/>
      <c r="O218" s="139"/>
      <c r="P218" s="139"/>
      <c r="Q218" s="139"/>
    </row>
    <row r="219" spans="1:17" x14ac:dyDescent="0.25">
      <c r="A219" s="32"/>
      <c r="B219" s="38"/>
      <c r="C219" s="41"/>
      <c r="D219" s="32"/>
      <c r="E219" s="170"/>
      <c r="F219" s="41"/>
      <c r="G219" s="38"/>
      <c r="H219" s="39"/>
      <c r="I219" s="39"/>
      <c r="J219" s="39"/>
      <c r="K219" s="39"/>
      <c r="L219" s="162"/>
      <c r="M219" s="39"/>
      <c r="N219" s="39"/>
      <c r="O219" s="139"/>
      <c r="P219" s="139"/>
      <c r="Q219" s="139"/>
    </row>
    <row r="220" spans="1:17" x14ac:dyDescent="0.25">
      <c r="A220" s="32"/>
      <c r="B220" s="38"/>
      <c r="C220" s="41"/>
      <c r="D220" s="32"/>
      <c r="E220" s="170"/>
      <c r="F220" s="41"/>
      <c r="G220" s="38"/>
      <c r="H220" s="39"/>
      <c r="I220" s="39"/>
      <c r="J220" s="39"/>
      <c r="K220" s="39"/>
      <c r="L220" s="162"/>
      <c r="M220" s="39"/>
      <c r="N220" s="39"/>
      <c r="O220" s="139"/>
      <c r="P220" s="139"/>
      <c r="Q220" s="139"/>
    </row>
    <row r="221" spans="1:17" x14ac:dyDescent="0.25">
      <c r="A221" s="32"/>
      <c r="B221" s="38"/>
      <c r="C221" s="41"/>
      <c r="D221" s="32"/>
      <c r="E221" s="170"/>
      <c r="F221" s="41"/>
      <c r="G221" s="38"/>
      <c r="H221" s="39"/>
      <c r="I221" s="39"/>
      <c r="J221" s="39"/>
      <c r="K221" s="39"/>
      <c r="L221" s="162"/>
      <c r="M221" s="39"/>
      <c r="N221" s="39"/>
      <c r="O221" s="139"/>
      <c r="P221" s="139"/>
      <c r="Q221" s="139"/>
    </row>
    <row r="222" spans="1:17" x14ac:dyDescent="0.25">
      <c r="A222" s="160"/>
      <c r="B222" s="41"/>
      <c r="C222" s="41"/>
      <c r="D222" s="32"/>
      <c r="E222" s="170"/>
      <c r="F222" s="41"/>
      <c r="G222" s="38"/>
      <c r="H222" s="39"/>
      <c r="I222" s="39"/>
      <c r="J222" s="39"/>
      <c r="K222" s="39"/>
      <c r="L222" s="162"/>
      <c r="M222" s="39"/>
      <c r="N222" s="39"/>
      <c r="O222" s="139"/>
      <c r="P222" s="139"/>
      <c r="Q222" s="139"/>
    </row>
    <row r="223" spans="1:17" x14ac:dyDescent="0.25">
      <c r="A223" s="40"/>
      <c r="B223" s="41"/>
      <c r="C223" s="41"/>
      <c r="D223" s="159"/>
      <c r="E223" s="171"/>
      <c r="F223" s="41"/>
      <c r="G223" s="41"/>
      <c r="H223" s="39"/>
      <c r="I223" s="39"/>
      <c r="J223" s="39"/>
      <c r="K223" s="141"/>
      <c r="L223" s="162"/>
      <c r="M223" s="39"/>
      <c r="N223" s="39"/>
      <c r="O223" s="139"/>
      <c r="P223" s="139"/>
      <c r="Q223" s="139"/>
    </row>
    <row r="224" spans="1:17" x14ac:dyDescent="0.25">
      <c r="A224" s="40"/>
      <c r="B224" s="41"/>
      <c r="C224" s="41"/>
      <c r="D224" s="32"/>
      <c r="E224" s="40"/>
      <c r="F224" s="41"/>
      <c r="G224" s="41"/>
      <c r="H224" s="39"/>
      <c r="I224" s="39"/>
      <c r="J224" s="39"/>
      <c r="K224" s="39"/>
      <c r="L224" s="39"/>
      <c r="M224" s="39"/>
      <c r="N224" s="39"/>
      <c r="O224" s="139"/>
      <c r="P224" s="139"/>
      <c r="Q224" s="139"/>
    </row>
    <row r="225" spans="1:17" x14ac:dyDescent="0.25">
      <c r="A225" s="40"/>
      <c r="B225" s="41"/>
      <c r="C225" s="41"/>
      <c r="D225" s="32"/>
      <c r="E225" s="40"/>
      <c r="F225" s="41"/>
      <c r="G225" s="41"/>
      <c r="H225" s="39"/>
      <c r="I225" s="39"/>
      <c r="J225" s="39"/>
      <c r="K225" s="39"/>
      <c r="L225" s="39"/>
      <c r="M225" s="39"/>
      <c r="N225" s="39"/>
      <c r="O225" s="139"/>
      <c r="P225" s="139"/>
      <c r="Q225" s="139"/>
    </row>
    <row r="226" spans="1:17" x14ac:dyDescent="0.25">
      <c r="A226" s="40"/>
      <c r="B226" s="41"/>
      <c r="C226" s="41"/>
      <c r="D226" s="32"/>
      <c r="E226" s="40"/>
      <c r="F226" s="41"/>
      <c r="G226" s="41"/>
      <c r="H226" s="39"/>
      <c r="I226" s="39"/>
      <c r="J226" s="39"/>
      <c r="K226" s="39"/>
      <c r="L226" s="39"/>
      <c r="M226" s="39"/>
      <c r="N226" s="39"/>
      <c r="O226" s="139"/>
      <c r="P226" s="139"/>
      <c r="Q226" s="139"/>
    </row>
    <row r="227" spans="1:17" x14ac:dyDescent="0.25">
      <c r="A227" s="40"/>
      <c r="B227" s="32"/>
      <c r="C227" s="32"/>
      <c r="D227" s="32"/>
      <c r="E227" s="32"/>
      <c r="F227" s="32"/>
      <c r="G227" s="32"/>
      <c r="H227" s="39"/>
      <c r="I227" s="39"/>
      <c r="J227" s="39"/>
      <c r="K227" s="39"/>
      <c r="L227" s="39"/>
      <c r="M227" s="39"/>
      <c r="N227" s="39"/>
      <c r="O227" s="139"/>
      <c r="P227" s="4"/>
      <c r="Q227" s="139"/>
    </row>
    <row r="228" spans="1:17" x14ac:dyDescent="0.25">
      <c r="A228" s="40"/>
      <c r="B228" s="32"/>
      <c r="C228" s="32"/>
      <c r="D228" s="32"/>
      <c r="E228" s="32"/>
      <c r="F228" s="32"/>
      <c r="G228" s="32"/>
      <c r="H228" s="39"/>
      <c r="I228" s="39"/>
      <c r="J228" s="39"/>
      <c r="K228" s="39"/>
      <c r="L228" s="39"/>
      <c r="M228" s="39"/>
      <c r="N228" s="39"/>
      <c r="O228" s="139"/>
      <c r="P228" s="139"/>
      <c r="Q228" s="139"/>
    </row>
    <row r="229" spans="1:17" x14ac:dyDescent="0.25">
      <c r="A229" s="40"/>
      <c r="B229" s="32"/>
      <c r="C229" s="32"/>
      <c r="D229" s="32"/>
      <c r="E229" s="40"/>
      <c r="F229" s="32"/>
      <c r="G229" s="32"/>
      <c r="H229" s="39"/>
      <c r="I229" s="39"/>
      <c r="J229" s="39"/>
      <c r="K229" s="39"/>
      <c r="L229" s="39"/>
      <c r="M229" s="39"/>
      <c r="N229" s="39"/>
      <c r="O229" s="139"/>
      <c r="P229" s="139"/>
      <c r="Q229" s="139"/>
    </row>
    <row r="230" spans="1:17" x14ac:dyDescent="0.25">
      <c r="A230" s="160"/>
      <c r="B230" s="38"/>
      <c r="C230" s="161"/>
      <c r="D230" s="32"/>
      <c r="E230" s="32"/>
      <c r="F230" s="38"/>
      <c r="G230" s="38"/>
      <c r="H230" s="39"/>
      <c r="I230" s="161"/>
      <c r="J230" s="39"/>
      <c r="K230" s="39"/>
      <c r="L230" s="39"/>
      <c r="M230" s="39"/>
      <c r="N230" s="39"/>
      <c r="O230" s="139"/>
      <c r="P230" s="139"/>
      <c r="Q230" s="139"/>
    </row>
    <row r="231" spans="1:17" x14ac:dyDescent="0.25">
      <c r="A231" s="160"/>
      <c r="B231" s="38"/>
      <c r="C231" s="161"/>
      <c r="D231" s="32"/>
      <c r="E231" s="32"/>
      <c r="F231" s="38"/>
      <c r="G231" s="38"/>
      <c r="H231" s="39"/>
      <c r="I231" s="161"/>
      <c r="J231" s="39"/>
      <c r="K231" s="39"/>
      <c r="L231" s="39"/>
      <c r="M231" s="39"/>
      <c r="N231" s="37"/>
    </row>
    <row r="232" spans="1:17" x14ac:dyDescent="0.25">
      <c r="A232" s="160"/>
      <c r="B232" s="38"/>
      <c r="C232" s="161"/>
      <c r="D232" s="32"/>
      <c r="E232" s="32"/>
      <c r="F232" s="38"/>
      <c r="G232" s="38"/>
      <c r="H232" s="39"/>
      <c r="I232" s="162"/>
      <c r="J232" s="39"/>
      <c r="K232" s="39"/>
      <c r="L232" s="39"/>
      <c r="M232" s="39"/>
      <c r="N232" s="37"/>
    </row>
    <row r="233" spans="1:17" x14ac:dyDescent="0.25">
      <c r="A233" s="160"/>
      <c r="B233" s="38"/>
      <c r="C233" s="161"/>
      <c r="D233" s="32"/>
      <c r="E233" s="32"/>
      <c r="F233" s="38"/>
      <c r="G233" s="38"/>
      <c r="H233" s="39"/>
      <c r="I233" s="161"/>
      <c r="J233" s="39"/>
      <c r="K233" s="39"/>
      <c r="L233" s="39"/>
      <c r="M233" s="39"/>
      <c r="N233" s="37"/>
    </row>
    <row r="234" spans="1:17" x14ac:dyDescent="0.25">
      <c r="A234" s="160"/>
      <c r="B234" s="38"/>
      <c r="C234" s="161"/>
      <c r="D234" s="32"/>
      <c r="E234" s="32"/>
      <c r="F234" s="38"/>
      <c r="G234" s="38"/>
      <c r="H234" s="39"/>
      <c r="I234" s="162"/>
      <c r="J234" s="39"/>
      <c r="K234" s="39"/>
      <c r="L234" s="39"/>
      <c r="M234" s="39"/>
      <c r="N234" s="37"/>
    </row>
    <row r="235" spans="1:17" x14ac:dyDescent="0.25">
      <c r="A235" s="160"/>
      <c r="B235" s="38"/>
      <c r="C235" s="161"/>
      <c r="D235" s="32"/>
      <c r="E235" s="11"/>
      <c r="F235" s="38"/>
      <c r="G235" s="38"/>
      <c r="H235" s="39"/>
      <c r="I235" s="139"/>
      <c r="J235" s="39"/>
      <c r="K235" s="39"/>
      <c r="L235" s="39"/>
      <c r="M235" s="39"/>
      <c r="N235" s="37"/>
    </row>
    <row r="236" spans="1:17" x14ac:dyDescent="0.25">
      <c r="A236" s="160"/>
      <c r="B236" s="38"/>
      <c r="C236" s="161"/>
      <c r="D236" s="32"/>
      <c r="E236" s="160"/>
      <c r="F236" s="38"/>
      <c r="G236" s="38"/>
      <c r="H236" s="39"/>
      <c r="I236" s="161"/>
      <c r="J236" s="39"/>
      <c r="K236" s="39"/>
      <c r="L236" s="39"/>
      <c r="M236" s="39"/>
      <c r="N236" s="37"/>
    </row>
    <row r="237" spans="1:17" x14ac:dyDescent="0.25">
      <c r="A237" s="32"/>
      <c r="B237" s="38"/>
      <c r="C237" s="161"/>
      <c r="D237" s="32"/>
      <c r="E237" s="32"/>
      <c r="F237" s="38"/>
      <c r="G237" s="38"/>
      <c r="H237" s="39"/>
      <c r="I237" s="161"/>
      <c r="J237" s="39"/>
      <c r="K237" s="39"/>
      <c r="L237" s="39"/>
      <c r="M237" s="39"/>
      <c r="N237" s="37"/>
    </row>
    <row r="238" spans="1:17" x14ac:dyDescent="0.25">
      <c r="A238" s="32"/>
      <c r="B238" s="38"/>
      <c r="C238" s="161"/>
      <c r="D238" s="32"/>
      <c r="E238" s="32"/>
      <c r="F238" s="38"/>
      <c r="G238" s="38"/>
      <c r="H238" s="39"/>
      <c r="I238" s="162"/>
      <c r="J238" s="39"/>
      <c r="K238" s="39"/>
      <c r="L238" s="39"/>
      <c r="M238" s="39"/>
      <c r="N238" s="37"/>
    </row>
    <row r="239" spans="1:17" x14ac:dyDescent="0.25">
      <c r="A239" s="40"/>
      <c r="B239" s="41"/>
      <c r="C239" s="161"/>
      <c r="D239" s="32"/>
      <c r="E239" s="40"/>
      <c r="F239" s="41"/>
      <c r="G239" s="41"/>
      <c r="H239" s="39"/>
      <c r="I239" s="161"/>
      <c r="J239" s="39"/>
      <c r="K239" s="39"/>
      <c r="L239" s="39"/>
      <c r="M239" s="39"/>
      <c r="N239" s="37"/>
    </row>
    <row r="240" spans="1:17" x14ac:dyDescent="0.25">
      <c r="A240" s="32"/>
      <c r="B240" s="38"/>
      <c r="C240" s="38"/>
      <c r="D240" s="32"/>
      <c r="E240" s="40"/>
      <c r="F240" s="41"/>
      <c r="G240" s="41"/>
      <c r="H240" s="39"/>
      <c r="I240" s="41"/>
      <c r="J240" s="39"/>
      <c r="K240" s="39"/>
      <c r="L240" s="39"/>
      <c r="M240" s="39"/>
      <c r="N240" s="37"/>
    </row>
    <row r="241" spans="1:14" x14ac:dyDescent="0.25">
      <c r="A241" s="160"/>
      <c r="B241" s="38"/>
      <c r="C241" s="161"/>
      <c r="D241" s="32"/>
      <c r="E241" s="32"/>
      <c r="F241" s="41"/>
      <c r="G241" s="38"/>
      <c r="H241" s="39"/>
      <c r="I241" s="39"/>
      <c r="J241" s="39"/>
      <c r="K241" s="39"/>
      <c r="L241" s="39"/>
      <c r="M241" s="39"/>
      <c r="N241" s="37"/>
    </row>
    <row r="242" spans="1:14" x14ac:dyDescent="0.25">
      <c r="A242" s="160"/>
      <c r="B242" s="38"/>
      <c r="C242" s="161"/>
      <c r="D242" s="32"/>
      <c r="E242" s="32"/>
      <c r="F242" s="41"/>
      <c r="G242" s="38"/>
      <c r="H242" s="39"/>
      <c r="I242" s="39"/>
      <c r="J242" s="39"/>
      <c r="K242" s="39"/>
      <c r="L242" s="39"/>
      <c r="M242" s="39"/>
      <c r="N242" s="37"/>
    </row>
    <row r="243" spans="1:14" x14ac:dyDescent="0.25">
      <c r="A243" s="160"/>
      <c r="B243" s="38"/>
      <c r="C243" s="161"/>
      <c r="D243" s="32"/>
      <c r="E243" s="32"/>
      <c r="F243" s="38"/>
      <c r="G243" s="38"/>
      <c r="H243" s="39"/>
      <c r="I243" s="162"/>
      <c r="J243" s="39"/>
      <c r="K243" s="39"/>
      <c r="L243" s="39"/>
      <c r="M243" s="39"/>
      <c r="N243" s="37"/>
    </row>
    <row r="244" spans="1:14" x14ac:dyDescent="0.25">
      <c r="A244" s="160"/>
      <c r="B244" s="38"/>
      <c r="C244" s="161"/>
      <c r="D244" s="32"/>
      <c r="E244" s="32"/>
      <c r="F244" s="38"/>
      <c r="G244" s="38"/>
      <c r="H244" s="39"/>
      <c r="I244" s="162"/>
      <c r="J244" s="39"/>
      <c r="K244" s="39"/>
      <c r="L244" s="39"/>
      <c r="M244" s="39"/>
      <c r="N244" s="37"/>
    </row>
    <row r="245" spans="1:14" x14ac:dyDescent="0.25">
      <c r="A245" s="32"/>
      <c r="B245" s="38"/>
      <c r="C245" s="161"/>
      <c r="D245" s="32"/>
      <c r="E245" s="32"/>
      <c r="F245" s="38"/>
      <c r="G245" s="38"/>
      <c r="H245" s="39"/>
      <c r="I245" s="161"/>
      <c r="J245" s="39"/>
      <c r="K245" s="39"/>
      <c r="L245" s="39"/>
      <c r="M245" s="39"/>
      <c r="N245" s="37"/>
    </row>
    <row r="246" spans="1:14" x14ac:dyDescent="0.25">
      <c r="A246" s="160"/>
      <c r="B246" s="38"/>
      <c r="C246" s="161"/>
      <c r="D246" s="32"/>
      <c r="E246" s="32"/>
      <c r="F246" s="38"/>
      <c r="G246" s="38"/>
      <c r="H246" s="39"/>
      <c r="I246" s="161"/>
      <c r="J246" s="39"/>
      <c r="K246" s="39"/>
      <c r="L246" s="39"/>
      <c r="M246" s="39"/>
      <c r="N246" s="37"/>
    </row>
    <row r="247" spans="1:14" x14ac:dyDescent="0.25">
      <c r="A247" s="160"/>
      <c r="B247" s="38"/>
      <c r="C247" s="161"/>
      <c r="D247" s="32"/>
      <c r="E247" s="32"/>
      <c r="F247" s="38"/>
      <c r="G247" s="38"/>
      <c r="H247" s="39"/>
      <c r="I247" s="162"/>
      <c r="J247" s="39"/>
      <c r="K247" s="39"/>
      <c r="L247" s="39"/>
      <c r="M247" s="39"/>
      <c r="N247" s="37"/>
    </row>
    <row r="248" spans="1:14" x14ac:dyDescent="0.25">
      <c r="A248" s="160"/>
      <c r="B248" s="38"/>
      <c r="C248" s="161"/>
      <c r="D248" s="32"/>
      <c r="E248" s="40"/>
      <c r="F248" s="41"/>
      <c r="G248" s="41"/>
      <c r="H248" s="39"/>
      <c r="I248" s="163"/>
      <c r="J248" s="39"/>
      <c r="K248" s="39"/>
      <c r="L248" s="39"/>
      <c r="M248" s="39"/>
      <c r="N248" s="37"/>
    </row>
    <row r="249" spans="1:14" x14ac:dyDescent="0.25">
      <c r="A249" s="32"/>
      <c r="B249" s="38"/>
      <c r="C249" s="161"/>
      <c r="D249" s="32"/>
      <c r="E249" s="32"/>
      <c r="F249" s="38"/>
      <c r="G249" s="38"/>
      <c r="H249" s="39"/>
      <c r="I249" s="162"/>
      <c r="J249" s="39"/>
      <c r="K249" s="39"/>
      <c r="L249" s="39"/>
      <c r="M249" s="39"/>
      <c r="N249" s="37"/>
    </row>
    <row r="250" spans="1:14" x14ac:dyDescent="0.25">
      <c r="A250" s="40"/>
      <c r="B250" s="41"/>
      <c r="C250" s="163"/>
      <c r="D250" s="32"/>
      <c r="E250" s="32"/>
      <c r="F250" s="38"/>
      <c r="G250" s="38"/>
      <c r="H250" s="39"/>
      <c r="I250" s="162"/>
      <c r="J250" s="39"/>
      <c r="K250" s="39"/>
      <c r="L250" s="39"/>
      <c r="M250" s="39"/>
      <c r="N250" s="37"/>
    </row>
    <row r="251" spans="1:14" x14ac:dyDescent="0.25">
      <c r="A251" s="40"/>
      <c r="B251" s="41"/>
      <c r="C251" s="163"/>
      <c r="D251" s="40"/>
      <c r="E251" s="40"/>
      <c r="F251" s="41"/>
      <c r="G251" s="41"/>
      <c r="H251" s="39"/>
      <c r="I251" s="163"/>
      <c r="J251" s="39"/>
      <c r="K251" s="39"/>
      <c r="L251" s="39"/>
      <c r="M251" s="39"/>
      <c r="N251" s="37"/>
    </row>
    <row r="252" spans="1:14" x14ac:dyDescent="0.25">
      <c r="A252" s="40"/>
      <c r="B252" s="41"/>
      <c r="C252" s="41"/>
      <c r="D252" s="40"/>
      <c r="E252" s="40"/>
      <c r="F252" s="41"/>
      <c r="G252" s="41"/>
      <c r="H252" s="39"/>
      <c r="I252" s="39"/>
      <c r="J252" s="39"/>
      <c r="K252" s="39"/>
      <c r="L252" s="39"/>
      <c r="M252" s="39"/>
      <c r="N252" s="37"/>
    </row>
    <row r="253" spans="1:14" x14ac:dyDescent="0.25">
      <c r="A253" s="40"/>
      <c r="B253" s="41"/>
      <c r="C253" s="172"/>
      <c r="D253" s="40"/>
      <c r="E253" s="40"/>
      <c r="F253" s="41"/>
      <c r="G253" s="41"/>
      <c r="H253" s="39"/>
      <c r="I253" s="39"/>
      <c r="J253" s="39"/>
      <c r="K253" s="39"/>
      <c r="L253" s="39"/>
      <c r="M253" s="39"/>
      <c r="N253" s="37"/>
    </row>
    <row r="254" spans="1:14" x14ac:dyDescent="0.25">
      <c r="A254" s="40"/>
      <c r="B254" s="41"/>
      <c r="C254" s="41"/>
      <c r="D254" s="40"/>
      <c r="E254" s="40"/>
      <c r="F254" s="41"/>
      <c r="G254" s="41"/>
      <c r="H254" s="39"/>
      <c r="I254" s="39"/>
      <c r="J254" s="39"/>
      <c r="K254" s="39"/>
      <c r="L254" s="39"/>
      <c r="M254" s="39"/>
      <c r="N254" s="37"/>
    </row>
    <row r="255" spans="1:14" x14ac:dyDescent="0.25">
      <c r="A255" s="40"/>
      <c r="B255" s="41"/>
      <c r="C255" s="41"/>
      <c r="D255" s="40"/>
      <c r="E255" s="40"/>
      <c r="F255" s="41"/>
      <c r="G255" s="41"/>
      <c r="H255" s="39"/>
      <c r="I255" s="39"/>
      <c r="J255" s="39"/>
      <c r="K255" s="39"/>
      <c r="L255" s="39"/>
      <c r="M255" s="39"/>
      <c r="N255" s="37"/>
    </row>
    <row r="256" spans="1:14" x14ac:dyDescent="0.25">
      <c r="A256" s="40"/>
      <c r="B256" s="41"/>
      <c r="C256" s="41"/>
      <c r="D256" s="40"/>
      <c r="E256" s="40"/>
      <c r="F256" s="41"/>
      <c r="G256" s="41"/>
      <c r="H256" s="39"/>
      <c r="I256" s="39"/>
      <c r="J256" s="39"/>
      <c r="K256" s="39"/>
      <c r="L256" s="39"/>
      <c r="M256" s="39"/>
      <c r="N256" s="37"/>
    </row>
    <row r="257" spans="1:17" x14ac:dyDescent="0.25">
      <c r="A257" s="40"/>
      <c r="B257" s="41"/>
      <c r="C257" s="41"/>
      <c r="D257" s="40"/>
      <c r="E257" s="40"/>
      <c r="F257" s="41"/>
      <c r="G257" s="41"/>
      <c r="H257" s="39"/>
      <c r="I257" s="39"/>
      <c r="J257" s="39"/>
      <c r="K257" s="39"/>
      <c r="L257" s="39"/>
      <c r="M257" s="39"/>
      <c r="N257" s="37"/>
    </row>
    <row r="258" spans="1:17" x14ac:dyDescent="0.25">
      <c r="A258" s="139"/>
      <c r="B258" s="139"/>
      <c r="C258" s="139"/>
      <c r="D258" s="139"/>
      <c r="E258" s="139"/>
      <c r="F258" s="139"/>
      <c r="G258" s="139"/>
      <c r="H258" s="139"/>
      <c r="I258" s="139"/>
      <c r="J258" s="139"/>
      <c r="K258" s="139"/>
      <c r="L258" s="139"/>
      <c r="M258" s="139"/>
    </row>
    <row r="259" spans="1:17" x14ac:dyDescent="0.25">
      <c r="A259" s="139"/>
      <c r="B259" s="139"/>
      <c r="C259" s="139"/>
      <c r="D259" s="139"/>
      <c r="E259" s="139"/>
      <c r="F259" s="139"/>
      <c r="G259" s="139"/>
      <c r="H259" s="139"/>
      <c r="I259" s="139"/>
      <c r="J259" s="139"/>
      <c r="K259" s="139"/>
      <c r="L259" s="139"/>
      <c r="M259" s="139"/>
    </row>
    <row r="260" spans="1:17" x14ac:dyDescent="0.25">
      <c r="A260" s="139"/>
      <c r="B260" s="139"/>
      <c r="C260" s="139"/>
      <c r="D260" s="139"/>
      <c r="E260" s="139"/>
      <c r="F260" s="139"/>
      <c r="G260" s="139"/>
      <c r="H260" s="139"/>
      <c r="I260" s="139"/>
      <c r="J260" s="139"/>
      <c r="K260" s="139"/>
      <c r="L260" s="139"/>
      <c r="M260" s="139"/>
    </row>
    <row r="261" spans="1:17" x14ac:dyDescent="0.25">
      <c r="A261" s="139"/>
      <c r="B261" s="139"/>
      <c r="C261" s="139"/>
      <c r="D261" s="139"/>
      <c r="E261" s="139"/>
      <c r="F261" s="139"/>
      <c r="G261" s="139"/>
      <c r="H261" s="139"/>
      <c r="I261" s="139"/>
      <c r="J261" s="139"/>
      <c r="K261" s="139"/>
      <c r="L261" s="139"/>
      <c r="M261" s="139"/>
    </row>
    <row r="262" spans="1:17" x14ac:dyDescent="0.25">
      <c r="A262" s="139"/>
      <c r="B262" s="139"/>
      <c r="C262" s="139"/>
      <c r="D262" s="139"/>
      <c r="E262" s="139"/>
      <c r="F262" s="139"/>
      <c r="G262" s="139"/>
      <c r="H262" s="139"/>
      <c r="I262" s="139"/>
      <c r="J262" s="139"/>
      <c r="K262" s="139"/>
      <c r="L262" s="139"/>
      <c r="M262" s="139"/>
      <c r="P262" s="139"/>
      <c r="Q262" s="139"/>
    </row>
    <row r="263" spans="1:17" x14ac:dyDescent="0.25">
      <c r="A263" s="139"/>
      <c r="B263" s="139"/>
      <c r="C263" s="139"/>
      <c r="D263" s="139"/>
      <c r="E263" s="139"/>
      <c r="F263" s="139"/>
      <c r="G263" s="139"/>
      <c r="P263" s="139"/>
      <c r="Q263" s="139"/>
    </row>
    <row r="264" spans="1:17" x14ac:dyDescent="0.25">
      <c r="A264" s="11"/>
      <c r="B264" s="11"/>
      <c r="C264" s="11"/>
      <c r="D264" s="11"/>
      <c r="E264" s="11"/>
      <c r="F264" s="11"/>
      <c r="G264" s="11"/>
      <c r="P264" s="4"/>
      <c r="Q264" s="139"/>
    </row>
    <row r="265" spans="1:17" x14ac:dyDescent="0.25">
      <c r="A265" s="140"/>
      <c r="B265" s="11"/>
      <c r="C265" s="11"/>
      <c r="D265" s="11"/>
      <c r="E265" s="11"/>
      <c r="F265" s="11"/>
      <c r="G265" s="11"/>
      <c r="P265" s="139"/>
      <c r="Q265" s="139"/>
    </row>
    <row r="266" spans="1:17" x14ac:dyDescent="0.25">
      <c r="A266" s="11"/>
      <c r="B266" s="11"/>
      <c r="C266" s="11"/>
      <c r="D266" s="11"/>
      <c r="E266" s="11"/>
      <c r="F266" s="11"/>
      <c r="G266" s="11"/>
      <c r="P266" s="139"/>
      <c r="Q266" s="139"/>
    </row>
    <row r="267" spans="1:17" x14ac:dyDescent="0.25">
      <c r="A267" s="11"/>
      <c r="B267" s="11"/>
      <c r="C267" s="11"/>
      <c r="D267" s="11"/>
      <c r="E267" s="11"/>
      <c r="F267" s="11"/>
      <c r="G267" s="11"/>
      <c r="I267" s="57"/>
      <c r="P267" s="139"/>
      <c r="Q267" s="139"/>
    </row>
    <row r="268" spans="1:17" x14ac:dyDescent="0.25">
      <c r="A268" s="22"/>
      <c r="B268" s="16"/>
      <c r="C268" s="16"/>
      <c r="D268" s="16"/>
      <c r="E268" s="16"/>
      <c r="F268" s="16"/>
      <c r="G268" s="16"/>
      <c r="P268" s="139"/>
      <c r="Q268" s="139"/>
    </row>
    <row r="269" spans="1:17" x14ac:dyDescent="0.25">
      <c r="A269" s="22"/>
      <c r="B269" s="16"/>
      <c r="C269" s="16"/>
      <c r="D269" s="16"/>
      <c r="E269" s="16"/>
      <c r="F269" s="16"/>
      <c r="G269" s="16"/>
      <c r="P269" s="139"/>
      <c r="Q269" s="139"/>
    </row>
    <row r="270" spans="1:17" x14ac:dyDescent="0.25">
      <c r="A270" s="11"/>
      <c r="B270" s="11"/>
      <c r="C270" s="11"/>
      <c r="D270" s="11"/>
      <c r="E270" s="11"/>
      <c r="F270" s="11"/>
      <c r="G270" s="11"/>
      <c r="P270" s="139"/>
      <c r="Q270" s="139"/>
    </row>
    <row r="271" spans="1:17" x14ac:dyDescent="0.25">
      <c r="A271" s="11"/>
      <c r="B271" s="11"/>
      <c r="C271" s="24"/>
      <c r="D271" s="24"/>
      <c r="E271" s="24"/>
      <c r="F271" s="24"/>
      <c r="G271" s="24"/>
      <c r="H271" s="43"/>
      <c r="P271" s="139"/>
      <c r="Q271" s="139"/>
    </row>
    <row r="272" spans="1:17" x14ac:dyDescent="0.25">
      <c r="A272" s="139"/>
      <c r="B272" s="139"/>
      <c r="C272" s="139"/>
      <c r="D272" s="139"/>
      <c r="E272" s="139"/>
      <c r="F272" s="139"/>
      <c r="G272" s="139"/>
      <c r="P272" s="139"/>
      <c r="Q272" s="139"/>
    </row>
    <row r="280" spans="11:15" x14ac:dyDescent="0.25">
      <c r="K280" s="58"/>
      <c r="L280" s="58"/>
      <c r="M280" s="58"/>
      <c r="N280" s="58"/>
    </row>
    <row r="281" spans="11:15" x14ac:dyDescent="0.25">
      <c r="K281" s="58"/>
      <c r="L281" s="21"/>
      <c r="M281" s="21"/>
    </row>
    <row r="282" spans="11:15" x14ac:dyDescent="0.25">
      <c r="K282" s="58"/>
      <c r="L282" s="137"/>
      <c r="M282" s="50"/>
      <c r="O282" s="50"/>
    </row>
    <row r="283" spans="11:15" x14ac:dyDescent="0.25">
      <c r="K283" s="58"/>
      <c r="L283" s="50"/>
      <c r="M283" s="50"/>
      <c r="O283" s="50"/>
    </row>
    <row r="284" spans="11:15" x14ac:dyDescent="0.25">
      <c r="K284" s="136"/>
      <c r="L284" s="50"/>
      <c r="M284" s="50"/>
      <c r="O284" s="50"/>
    </row>
    <row r="285" spans="11:15" x14ac:dyDescent="0.25">
      <c r="K285" s="136"/>
      <c r="L285" s="50"/>
      <c r="M285" s="50"/>
      <c r="O285" s="50"/>
    </row>
    <row r="286" spans="11:15" x14ac:dyDescent="0.25">
      <c r="K286" s="136"/>
      <c r="L286" s="50"/>
      <c r="M286" s="50"/>
      <c r="O286" s="50"/>
    </row>
    <row r="287" spans="11:15" x14ac:dyDescent="0.25">
      <c r="K287" s="136"/>
      <c r="L287" s="50"/>
      <c r="M287" s="50"/>
      <c r="O287" s="50"/>
    </row>
    <row r="288" spans="11:15" x14ac:dyDescent="0.25">
      <c r="K288" s="136"/>
      <c r="L288" s="50"/>
      <c r="M288" s="50"/>
      <c r="O288" s="50"/>
    </row>
    <row r="289" spans="11:15" x14ac:dyDescent="0.25">
      <c r="K289" s="136"/>
      <c r="L289" s="50"/>
      <c r="M289" s="50"/>
      <c r="O289" s="50"/>
    </row>
    <row r="290" spans="11:15" x14ac:dyDescent="0.25">
      <c r="K290" s="136"/>
      <c r="L290" s="50"/>
      <c r="M290" s="50"/>
      <c r="O290" s="50"/>
    </row>
    <row r="291" spans="11:15" x14ac:dyDescent="0.25">
      <c r="K291" s="136"/>
      <c r="L291" s="50"/>
      <c r="M291" s="50"/>
      <c r="O291" s="50"/>
    </row>
    <row r="292" spans="11:15" x14ac:dyDescent="0.25">
      <c r="K292" s="136"/>
      <c r="L292" s="50"/>
      <c r="M292" s="50"/>
      <c r="O292" s="50"/>
    </row>
    <row r="337" spans="1:16" x14ac:dyDescent="0.25">
      <c r="P337" s="5"/>
    </row>
    <row r="346" spans="1:16" x14ac:dyDescent="0.25">
      <c r="A346" s="11"/>
      <c r="B346" s="16"/>
      <c r="C346" s="139"/>
      <c r="D346" s="16"/>
      <c r="E346" s="16"/>
    </row>
    <row r="347" spans="1:16" x14ac:dyDescent="0.25">
      <c r="A347" s="11"/>
      <c r="B347" s="16"/>
      <c r="C347" s="16"/>
      <c r="D347" s="16"/>
      <c r="E347" s="139"/>
    </row>
    <row r="348" spans="1:16" x14ac:dyDescent="0.25">
      <c r="B348" s="57"/>
    </row>
    <row r="349" spans="1:16" x14ac:dyDescent="0.25">
      <c r="B349" s="57"/>
    </row>
    <row r="350" spans="1:16" x14ac:dyDescent="0.25">
      <c r="B350" s="57"/>
    </row>
    <row r="351" spans="1:16" x14ac:dyDescent="0.25">
      <c r="B351" s="57"/>
    </row>
    <row r="352" spans="1:16" x14ac:dyDescent="0.25">
      <c r="B352" s="57"/>
    </row>
    <row r="353" spans="2:2" x14ac:dyDescent="0.25">
      <c r="B353" s="57"/>
    </row>
    <row r="354" spans="2:2" x14ac:dyDescent="0.25">
      <c r="B354" s="57"/>
    </row>
    <row r="355" spans="2:2" x14ac:dyDescent="0.25">
      <c r="B355" s="57"/>
    </row>
    <row r="356" spans="2:2" x14ac:dyDescent="0.25">
      <c r="B356" s="57"/>
    </row>
    <row r="357" spans="2:2" x14ac:dyDescent="0.25">
      <c r="B357" s="57"/>
    </row>
    <row r="358" spans="2:2" x14ac:dyDescent="0.25">
      <c r="B358" s="57"/>
    </row>
    <row r="359" spans="2:2" x14ac:dyDescent="0.25">
      <c r="B359" s="57"/>
    </row>
    <row r="360" spans="2:2" x14ac:dyDescent="0.25">
      <c r="B360" s="57"/>
    </row>
    <row r="361" spans="2:2" x14ac:dyDescent="0.25">
      <c r="B361" s="57"/>
    </row>
    <row r="362" spans="2:2" x14ac:dyDescent="0.25">
      <c r="B362" s="57"/>
    </row>
    <row r="363" spans="2:2" x14ac:dyDescent="0.25">
      <c r="B363" s="57"/>
    </row>
    <row r="364" spans="2:2" x14ac:dyDescent="0.25">
      <c r="B364" s="57"/>
    </row>
    <row r="365" spans="2:2" x14ac:dyDescent="0.25">
      <c r="B365" s="57"/>
    </row>
    <row r="366" spans="2:2" x14ac:dyDescent="0.25">
      <c r="B366" s="57"/>
    </row>
    <row r="367" spans="2:2" x14ac:dyDescent="0.25">
      <c r="B367" s="57"/>
    </row>
    <row r="368" spans="2:2" x14ac:dyDescent="0.25">
      <c r="B368" s="57"/>
    </row>
    <row r="369" spans="2:2" x14ac:dyDescent="0.25">
      <c r="B369" s="57"/>
    </row>
    <row r="370" spans="2:2" x14ac:dyDescent="0.25">
      <c r="B370" s="57"/>
    </row>
    <row r="371" spans="2:2" x14ac:dyDescent="0.25">
      <c r="B371" s="57"/>
    </row>
    <row r="372" spans="2:2" x14ac:dyDescent="0.25">
      <c r="B372" s="57"/>
    </row>
    <row r="373" spans="2:2" x14ac:dyDescent="0.25">
      <c r="B373" s="57"/>
    </row>
    <row r="374" spans="2:2" x14ac:dyDescent="0.25">
      <c r="B374" s="57"/>
    </row>
    <row r="375" spans="2:2" x14ac:dyDescent="0.25">
      <c r="B375" s="57"/>
    </row>
    <row r="376" spans="2:2" x14ac:dyDescent="0.25">
      <c r="B376" s="57"/>
    </row>
    <row r="377" spans="2:2" x14ac:dyDescent="0.25">
      <c r="B377" s="57"/>
    </row>
    <row r="378" spans="2:2" x14ac:dyDescent="0.25">
      <c r="B378" s="57"/>
    </row>
    <row r="379" spans="2:2" x14ac:dyDescent="0.25">
      <c r="B379" s="57"/>
    </row>
    <row r="380" spans="2:2" x14ac:dyDescent="0.25">
      <c r="B380" s="57"/>
    </row>
    <row r="381" spans="2:2" x14ac:dyDescent="0.25">
      <c r="B381" s="57"/>
    </row>
    <row r="382" spans="2:2" x14ac:dyDescent="0.25">
      <c r="B382" s="57"/>
    </row>
    <row r="383" spans="2:2" x14ac:dyDescent="0.25">
      <c r="B383" s="57"/>
    </row>
    <row r="384" spans="2:2" x14ac:dyDescent="0.25">
      <c r="B384" s="57"/>
    </row>
    <row r="385" spans="2:2" x14ac:dyDescent="0.25">
      <c r="B385" s="57"/>
    </row>
    <row r="386" spans="2:2" x14ac:dyDescent="0.25">
      <c r="B386" s="57"/>
    </row>
    <row r="387" spans="2:2" x14ac:dyDescent="0.25">
      <c r="B387" s="57"/>
    </row>
    <row r="388" spans="2:2" x14ac:dyDescent="0.25">
      <c r="B388" s="57"/>
    </row>
    <row r="389" spans="2:2" x14ac:dyDescent="0.25">
      <c r="B389" s="57"/>
    </row>
    <row r="390" spans="2:2" x14ac:dyDescent="0.25">
      <c r="B390" s="57"/>
    </row>
    <row r="391" spans="2:2" x14ac:dyDescent="0.25">
      <c r="B391" s="57"/>
    </row>
    <row r="392" spans="2:2" x14ac:dyDescent="0.25">
      <c r="B392" s="57"/>
    </row>
    <row r="393" spans="2:2" x14ac:dyDescent="0.25">
      <c r="B393" s="57"/>
    </row>
    <row r="394" spans="2:2" x14ac:dyDescent="0.25">
      <c r="B394" s="57"/>
    </row>
    <row r="395" spans="2:2" x14ac:dyDescent="0.25">
      <c r="B395" s="57"/>
    </row>
    <row r="396" spans="2:2" x14ac:dyDescent="0.25">
      <c r="B396" s="57"/>
    </row>
    <row r="397" spans="2:2" x14ac:dyDescent="0.25">
      <c r="B397" s="57"/>
    </row>
    <row r="398" spans="2:2" x14ac:dyDescent="0.25">
      <c r="B398" s="57"/>
    </row>
    <row r="399" spans="2:2" x14ac:dyDescent="0.25">
      <c r="B399" s="57"/>
    </row>
    <row r="400" spans="2:2" x14ac:dyDescent="0.25">
      <c r="B400" s="57"/>
    </row>
    <row r="401" spans="2:2" x14ac:dyDescent="0.25">
      <c r="B401" s="57"/>
    </row>
    <row r="402" spans="2:2" x14ac:dyDescent="0.25">
      <c r="B402" s="57"/>
    </row>
    <row r="403" spans="2:2" x14ac:dyDescent="0.25">
      <c r="B403" s="57"/>
    </row>
    <row r="404" spans="2:2" x14ac:dyDescent="0.25">
      <c r="B404" s="57"/>
    </row>
    <row r="405" spans="2:2" x14ac:dyDescent="0.25">
      <c r="B405" s="57"/>
    </row>
    <row r="406" spans="2:2" x14ac:dyDescent="0.25">
      <c r="B406" s="57"/>
    </row>
    <row r="407" spans="2:2" x14ac:dyDescent="0.25">
      <c r="B407" s="57"/>
    </row>
    <row r="408" spans="2:2" x14ac:dyDescent="0.25">
      <c r="B408" s="57"/>
    </row>
    <row r="409" spans="2:2" x14ac:dyDescent="0.25">
      <c r="B409" s="57"/>
    </row>
    <row r="410" spans="2:2" x14ac:dyDescent="0.25">
      <c r="B410" s="57"/>
    </row>
    <row r="411" spans="2:2" x14ac:dyDescent="0.25">
      <c r="B411" s="57"/>
    </row>
    <row r="412" spans="2:2" x14ac:dyDescent="0.25">
      <c r="B412" s="57"/>
    </row>
    <row r="413" spans="2:2" x14ac:dyDescent="0.25">
      <c r="B413" s="57"/>
    </row>
  </sheetData>
  <phoneticPr fontId="0" type="noConversion"/>
  <pageMargins left="0.75" right="0.75" top="1" bottom="1" header="0.5" footer="0.5"/>
  <pageSetup paperSize="5"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c X i 0 V G f 5 q / m k A A A A 9 g A A A B I A H A B D b 2 5 m a W c v U G F j a 2 F n Z S 5 4 b W w g o h g A K K A U A A A A A A A A A A A A A A A A A A A A A A A A A A A A h Y 9 B D o I w F E S v Q r q n L e C C k E + J Y S u J i Y l x 2 0 C F R v g Y W i x 3 c + G R v I I Y R d 2 5 n J k 3 y c z 9 e o N s 6 l r v o g a j e 0 x J Q D n x F J Z 9 p b F O y W i P f k w y A V t Z n m S t v B l G k 0 x G p 6 S x 9 p w w 5 p y j L q L 9 U L O Q 8 4 A d i s 2 u b F Q n f Y 3 G S i w V + b S q / y 0 i Y P 8 a I 0 I a 8 B W N 4 n k T s M W E Q u M X C O f s m f 6 Y k I + t H Q c l F P r 5 G t g i g b 0 / i A d Q S w M E F A A C A A g A c X i 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4 t F Q o i k e 4 D g A A A B E A A A A T A B w A R m 9 y b X V s Y X M v U 2 V j d G l v b j E u b S C i G A A o o B Q A A A A A A A A A A A A A A A A A A A A A A A A A A A A r T k 0 u y c z P U w i G 0 I b W A F B L A Q I t A B Q A A g A I A H F 4 t F R n + a v 5 p A A A A P Y A A A A S A A A A A A A A A A A A A A A A A A A A A A B D b 2 5 m a W c v U G F j a 2 F n Z S 5 4 b W x Q S w E C L Q A U A A I A C A B x e L R U D 8 r p q 6 Q A A A D p A A A A E w A A A A A A A A A A A A A A A A D w A A A A W 0 N v b n R l b n R f V H l w Z X N d L n h t b F B L A Q I t A B Q A A g A I A H F 4 t 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A o V x k R W Y m S Z 4 h b K O p v M 3 m A A A A A A I A A A A A A B B m A A A A A Q A A I A A A A J M D U Z U i l 6 8 m W E z x 9 P F f n Q T 6 b / c z w R z V N e 8 Q 1 V x H h p 6 G A A A A A A 6 A A A A A A g A A I A A A A P j W t o K / e d 4 t O 9 h P w u q I W l w z 7 D t l S A R K x + v 9 n q w U h t I + U A A A A I w w 9 0 i t L I V B A p N e D m k X 2 c V u D p K 0 G C C n Y G k 5 f J E X e F / y l N w X N E D b e Q y d f 8 c D c m C n Z 9 S X R 7 n b d S 9 D N N I E y Y R f M n b h 1 4 M i C L 2 C P s H 0 q t Q 2 a Y p u Q A A A A I R C D i w u R O D 4 1 O E u 2 H X 3 l 3 f R 2 8 a f p C / h T p 1 e T 4 5 u U G L W + W m 9 3 x G Y V Q k t W t A m H G z b c + 2 w t Z Y V Y Q g N G f D R x s n H o M k = < / D a t a M a s h u p > 
</file>

<file path=customXml/itemProps1.xml><?xml version="1.0" encoding="utf-8"?>
<ds:datastoreItem xmlns:ds="http://schemas.openxmlformats.org/officeDocument/2006/customXml" ds:itemID="{46987EC2-612D-4935-8899-6B59522C26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62</vt:i4>
      </vt:variant>
    </vt:vector>
  </HeadingPairs>
  <TitlesOfParts>
    <vt:vector size="64" baseType="lpstr">
      <vt:lpstr>Financial Projections</vt:lpstr>
      <vt:lpstr>Loan Amortization Schedule</vt:lpstr>
      <vt:lpstr>allowance_year1</vt:lpstr>
      <vt:lpstr>allowance_yr2</vt:lpstr>
      <vt:lpstr>allowance_yr3</vt:lpstr>
      <vt:lpstr>allowance_yr4</vt:lpstr>
      <vt:lpstr>allowance_yr5</vt:lpstr>
      <vt:lpstr>AR_data</vt:lpstr>
      <vt:lpstr>AR_year1</vt:lpstr>
      <vt:lpstr>AR_yr3</vt:lpstr>
      <vt:lpstr>Asset_installation</vt:lpstr>
      <vt:lpstr>asset1</vt:lpstr>
      <vt:lpstr>asset2</vt:lpstr>
      <vt:lpstr>asset3</vt:lpstr>
      <vt:lpstr>Assumptions</vt:lpstr>
      <vt:lpstr>bad_debt</vt:lpstr>
      <vt:lpstr>bad_debt_data</vt:lpstr>
      <vt:lpstr>bad_debt_year1</vt:lpstr>
      <vt:lpstr>bad_debt_year2</vt:lpstr>
      <vt:lpstr>Cash_flow_sales</vt:lpstr>
      <vt:lpstr>Cash_flow_sales_Jan</vt:lpstr>
      <vt:lpstr>Cash_Receipts</vt:lpstr>
      <vt:lpstr>cash_receipts_yr2</vt:lpstr>
      <vt:lpstr>cash_receipts_yr3</vt:lpstr>
      <vt:lpstr>cash_receipts_yr4</vt:lpstr>
      <vt:lpstr>cash_receipts_yr5</vt:lpstr>
      <vt:lpstr>cf_sales_Feb</vt:lpstr>
      <vt:lpstr>cf_sales_Mar</vt:lpstr>
      <vt:lpstr>COGS_data</vt:lpstr>
      <vt:lpstr>Contribution</vt:lpstr>
      <vt:lpstr>Current_Balance</vt:lpstr>
      <vt:lpstr>Current_Cash_Flow</vt:lpstr>
      <vt:lpstr>Depreciation</vt:lpstr>
      <vt:lpstr>depreciation_rate_asset3</vt:lpstr>
      <vt:lpstr>depreciation_rate1</vt:lpstr>
      <vt:lpstr>depreciation_rate2</vt:lpstr>
      <vt:lpstr>first_year_depreciation_rule</vt:lpstr>
      <vt:lpstr>first_year_tax</vt:lpstr>
      <vt:lpstr>Five_Cash_Flow</vt:lpstr>
      <vt:lpstr>Five_Op_Plan</vt:lpstr>
      <vt:lpstr>gen_bus_liability</vt:lpstr>
      <vt:lpstr>income_tax_rate</vt:lpstr>
      <vt:lpstr>Loan</vt:lpstr>
      <vt:lpstr>Loan_data</vt:lpstr>
      <vt:lpstr>N.profit</vt:lpstr>
      <vt:lpstr>POH</vt:lpstr>
      <vt:lpstr>Principal_Sum</vt:lpstr>
      <vt:lpstr>receipts</vt:lpstr>
      <vt:lpstr>Retailprices</vt:lpstr>
      <vt:lpstr>revenue_increase_yr3_5</vt:lpstr>
      <vt:lpstr>sales_collect</vt:lpstr>
      <vt:lpstr>sales_collected_60days</vt:lpstr>
      <vt:lpstr>Sales_forecast</vt:lpstr>
      <vt:lpstr>sales_year1</vt:lpstr>
      <vt:lpstr>small_tools_expense</vt:lpstr>
      <vt:lpstr>startup_cash</vt:lpstr>
      <vt:lpstr>startup_inventory</vt:lpstr>
      <vt:lpstr>sum_bookkeeping_yr1</vt:lpstr>
      <vt:lpstr>sum_interest</vt:lpstr>
      <vt:lpstr>sum_inventory_year1</vt:lpstr>
      <vt:lpstr>sum_wages</vt:lpstr>
      <vt:lpstr>WCB_expense</vt:lpstr>
      <vt:lpstr>working_cap_emergency</vt:lpstr>
      <vt:lpstr>Yr_end_Balance</vt:lpstr>
    </vt:vector>
  </TitlesOfParts>
  <Company>Village of Ft. Simpson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 VIC</dc:creator>
  <cp:lastModifiedBy>SWhelly</cp:lastModifiedBy>
  <cp:lastPrinted>2022-05-06T20:55:51Z</cp:lastPrinted>
  <dcterms:created xsi:type="dcterms:W3CDTF">1997-05-27T04:43:56Z</dcterms:created>
  <dcterms:modified xsi:type="dcterms:W3CDTF">2022-05-31T16:41:57Z</dcterms:modified>
</cp:coreProperties>
</file>